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ĂM 2026\BÁO CAÓ\Báo cáo CV 7691- tăng trưởng 2 con số theo tháng, quý\"/>
    </mc:Choice>
  </mc:AlternateContent>
  <xr:revisionPtr revIDLastSave="0" documentId="13_ncr:1_{93EF6D8B-0226-468D-9447-4B0282D109C0}" xr6:coauthVersionLast="47" xr6:coauthVersionMax="47" xr10:uidLastSave="{00000000-0000-0000-0000-000000000000}"/>
  <bookViews>
    <workbookView xWindow="-108" yWindow="-108" windowWidth="23256" windowHeight="12456" tabRatio="743" firstSheet="1" activeTab="2" xr2:uid="{00000000-000D-0000-FFFF-FFFF00000000}"/>
  </bookViews>
  <sheets>
    <sheet name="StartUp" sheetId="62" state="hidden" r:id="rId1"/>
    <sheet name="PL1" sheetId="107" r:id="rId2"/>
    <sheet name="PL2" sheetId="109" r:id="rId3"/>
    <sheet name="NN" sheetId="101" state="hidden" r:id="rId4"/>
    <sheet name="KTHT" sheetId="99" state="hidden" r:id="rId5"/>
    <sheet name="00000000" sheetId="33" state="veryHidden" r:id="rId6"/>
    <sheet name="XL4Test5" sheetId="59" state="hidden" r:id="rId7"/>
  </sheets>
  <externalReferences>
    <externalReference r:id="rId8"/>
    <externalReference r:id="rId9"/>
    <externalReference r:id="rId10"/>
  </externalReferences>
  <definedNames>
    <definedName name="_1" localSheetId="6">#REF!</definedName>
    <definedName name="_1">#REF!</definedName>
    <definedName name="_2" localSheetId="6">#REF!</definedName>
    <definedName name="_2">#REF!</definedName>
    <definedName name="_CON1" localSheetId="6">#REF!</definedName>
    <definedName name="_CON1">#REF!</definedName>
    <definedName name="_CON2" localSheetId="6">#REF!</definedName>
    <definedName name="_CON2">#REF!</definedName>
    <definedName name="_Fill" localSheetId="6" hidden="1">#REF!</definedName>
    <definedName name="_Fill" hidden="1">#REF!</definedName>
    <definedName name="_ftnref1" localSheetId="1">'PL1'!#REF!</definedName>
    <definedName name="_ftnref1" localSheetId="2">'PL2'!#REF!</definedName>
    <definedName name="_Key1" hidden="1">#REF!</definedName>
    <definedName name="_Key2" hidden="1">#REF!</definedName>
    <definedName name="_NET2">#REF!</definedName>
    <definedName name="_Order1" hidden="1">255</definedName>
    <definedName name="_Order2" hidden="1">255</definedName>
    <definedName name="_Sort" localSheetId="6" hidden="1">#REF!</definedName>
    <definedName name="_Sort" hidden="1">#REF!</definedName>
    <definedName name="A" localSheetId="6">#REF!</definedName>
    <definedName name="A">#REF!</definedName>
    <definedName name="a277Print_Titles">#REF!</definedName>
    <definedName name="anscount" hidden="1">4</definedName>
    <definedName name="B10.DMCT">{"Book1"}</definedName>
    <definedName name="Bang_cly" localSheetId="6">#REF!</definedName>
    <definedName name="Bang_cly">#REF!</definedName>
    <definedName name="Bang_CVC" localSheetId="6">#REF!</definedName>
    <definedName name="Bang_CVC">#REF!</definedName>
    <definedName name="bang_gia" localSheetId="6">#REF!</definedName>
    <definedName name="bang_gia">#REF!</definedName>
    <definedName name="Bang_travl" localSheetId="6">#REF!</definedName>
    <definedName name="Bang_travl">#REF!</definedName>
    <definedName name="BOQ" localSheetId="6">#REF!</definedName>
    <definedName name="BOQ">#REF!</definedName>
    <definedName name="Bust" localSheetId="6">XL4Test5!$C$15</definedName>
    <definedName name="BVCISUMMARY" localSheetId="6">#REF!</definedName>
    <definedName name="BVCISUMMARY">#REF!</definedName>
    <definedName name="CLVC3">0.1</definedName>
    <definedName name="cñ" localSheetId="6">#REF!</definedName>
    <definedName name="cñ">#REF!</definedName>
    <definedName name="Co" localSheetId="6">#REF!</definedName>
    <definedName name="Co">#REF!</definedName>
    <definedName name="COMMON">#REF!</definedName>
    <definedName name="CON_EQP_COS">#REF!</definedName>
    <definedName name="Cong_HM_DTCT" localSheetId="6">#REF!</definedName>
    <definedName name="Cong_HM_DTCT">#REF!</definedName>
    <definedName name="Cong_M_DTCT" localSheetId="6">#REF!</definedName>
    <definedName name="Cong_M_DTCT">#REF!</definedName>
    <definedName name="Cong_NC_DTCT" localSheetId="6">#REF!</definedName>
    <definedName name="Cong_NC_DTCT">#REF!</definedName>
    <definedName name="Cong_VL_DTCT" localSheetId="6">#REF!</definedName>
    <definedName name="Cong_VL_DTCT">#REF!</definedName>
    <definedName name="Continue" localSheetId="6">XL4Test5!$C$30</definedName>
    <definedName name="COVER" localSheetId="6">#REF!</definedName>
    <definedName name="COVER">#REF!</definedName>
    <definedName name="CRITINST" localSheetId="6">#REF!</definedName>
    <definedName name="CRITINST">#REF!</definedName>
    <definedName name="CRITPURC" localSheetId="6">#REF!</definedName>
    <definedName name="CRITPURC">#REF!</definedName>
    <definedName name="CS_10" localSheetId="6">#REF!</definedName>
    <definedName name="CS_10">#REF!</definedName>
    <definedName name="CS_100" localSheetId="6">#REF!</definedName>
    <definedName name="CS_100">#REF!</definedName>
    <definedName name="CS_10S" localSheetId="6">#REF!</definedName>
    <definedName name="CS_10S">#REF!</definedName>
    <definedName name="CS_120" localSheetId="6">#REF!</definedName>
    <definedName name="CS_120">#REF!</definedName>
    <definedName name="CS_140" localSheetId="6">#REF!</definedName>
    <definedName name="CS_140">#REF!</definedName>
    <definedName name="CS_160" localSheetId="6">#REF!</definedName>
    <definedName name="CS_160">#REF!</definedName>
    <definedName name="CS_20" localSheetId="6">#REF!</definedName>
    <definedName name="CS_20">#REF!</definedName>
    <definedName name="CS_30" localSheetId="6">#REF!</definedName>
    <definedName name="CS_30">#REF!</definedName>
    <definedName name="CS_40" localSheetId="6">#REF!</definedName>
    <definedName name="CS_40">#REF!</definedName>
    <definedName name="CS_40S" localSheetId="6">#REF!</definedName>
    <definedName name="CS_40S">#REF!</definedName>
    <definedName name="CS_5S" localSheetId="6">#REF!</definedName>
    <definedName name="CS_5S">#REF!</definedName>
    <definedName name="CS_60" localSheetId="6">#REF!</definedName>
    <definedName name="CS_60">#REF!</definedName>
    <definedName name="CS_80" localSheetId="6">#REF!</definedName>
    <definedName name="CS_80">#REF!</definedName>
    <definedName name="CS_80S" localSheetId="6">#REF!</definedName>
    <definedName name="CS_80S">#REF!</definedName>
    <definedName name="CS_STD" localSheetId="6">#REF!</definedName>
    <definedName name="CS_STD">#REF!</definedName>
    <definedName name="CS_XS" localSheetId="6">#REF!</definedName>
    <definedName name="CS_XS">#REF!</definedName>
    <definedName name="CS_XXS" localSheetId="6">#REF!</definedName>
    <definedName name="CS_XXS">#REF!</definedName>
    <definedName name="ctiep" localSheetId="6">#REF!</definedName>
    <definedName name="ctiep">#REF!</definedName>
    <definedName name="_xlnm.Database" localSheetId="6">#REF!</definedName>
    <definedName name="_xlnm.Database">#REF!</definedName>
    <definedName name="DataFilter" localSheetId="2">[1]!DataFilter</definedName>
    <definedName name="DataFilter">[1]!DataFilter</definedName>
    <definedName name="DataSort" localSheetId="2">[1]!DataSort</definedName>
    <definedName name="DataSort">[1]!DataSort</definedName>
    <definedName name="DCvon06.nguonNSH" hidden="1">{"'Sheet1'!$L$16"}</definedName>
    <definedName name="den_bu" localSheetId="6">#REF!</definedName>
    <definedName name="den_bu">#REF!</definedName>
    <definedName name="DGCTI592" localSheetId="6">#REF!</definedName>
    <definedName name="DGCTI592">#REF!</definedName>
    <definedName name="Document_array" localSheetId="6">{"bieu kh 2009.xls"}</definedName>
    <definedName name="Document_array">{"Book1"}</definedName>
    <definedName name="Documents_array" localSheetId="6">XL4Test5!$B$2:$B$19</definedName>
    <definedName name="DSUMDATA" localSheetId="6">#REF!</definedName>
    <definedName name="DSUMDATA">#REF!</definedName>
    <definedName name="End_1" localSheetId="6">#REF!</definedName>
    <definedName name="End_1">#REF!</definedName>
    <definedName name="End_10" localSheetId="6">#REF!</definedName>
    <definedName name="End_10">#REF!</definedName>
    <definedName name="End_11" localSheetId="6">#REF!</definedName>
    <definedName name="End_11">#REF!</definedName>
    <definedName name="End_12" localSheetId="6">#REF!</definedName>
    <definedName name="End_12">#REF!</definedName>
    <definedName name="End_13" localSheetId="6">#REF!</definedName>
    <definedName name="End_13">#REF!</definedName>
    <definedName name="End_2" localSheetId="6">#REF!</definedName>
    <definedName name="End_2">#REF!</definedName>
    <definedName name="End_3" localSheetId="6">#REF!</definedName>
    <definedName name="End_3">#REF!</definedName>
    <definedName name="End_4" localSheetId="6">#REF!</definedName>
    <definedName name="End_4">#REF!</definedName>
    <definedName name="End_5" localSheetId="6">#REF!</definedName>
    <definedName name="End_5">#REF!</definedName>
    <definedName name="End_6" localSheetId="6">#REF!</definedName>
    <definedName name="End_6">#REF!</definedName>
    <definedName name="End_7" localSheetId="6">#REF!</definedName>
    <definedName name="End_7">#REF!</definedName>
    <definedName name="End_8" localSheetId="6">#REF!</definedName>
    <definedName name="End_8">#REF!</definedName>
    <definedName name="End_9" localSheetId="6">#REF!</definedName>
    <definedName name="End_9">#REF!</definedName>
    <definedName name="_xlnm.Extract">#REF!</definedName>
    <definedName name="gia_tien" localSheetId="6">#REF!</definedName>
    <definedName name="gia_tien">#REF!</definedName>
    <definedName name="gia_tien_BTN" localSheetId="6">#REF!</definedName>
    <definedName name="gia_tien_BTN">#REF!</definedName>
    <definedName name="GiaoKH" hidden="1">{"'Sheet1'!$L$16"}</definedName>
    <definedName name="GoBack" localSheetId="2">[1]Sheet1!GoBack</definedName>
    <definedName name="GoBack">[1]Sheet1!GoBack</definedName>
    <definedName name="GTXL" localSheetId="6">#REF!</definedName>
    <definedName name="GTXL">#REF!</definedName>
    <definedName name="h" localSheetId="6" hidden="1">{"'Sheet1'!$L$16"}</definedName>
    <definedName name="h" hidden="1">{"'Sheet1'!$L$16"}</definedName>
    <definedName name="Heä_soá_laép_xaø_H">1.7</definedName>
    <definedName name="Hello" localSheetId="6">XL4Test5!$A$33</definedName>
    <definedName name="hien" localSheetId="6">#REF!</definedName>
    <definedName name="hien">#REF!</definedName>
    <definedName name="HOME_MANP">#REF!</definedName>
    <definedName name="HOMEOFFICE_COST">#REF!</definedName>
    <definedName name="HSCT3">0.1</definedName>
    <definedName name="HSDN">2.5</definedName>
    <definedName name="HTML_CodePage" hidden="1">950</definedName>
    <definedName name="HTML_Control" localSheetId="6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6" hidden="1">{"'Sheet1'!$L$16"}</definedName>
    <definedName name="huy" hidden="1">{"'Sheet1'!$L$16"}</definedName>
    <definedName name="I" localSheetId="6">#REF!</definedName>
    <definedName name="I">#REF!</definedName>
    <definedName name="IDLAB_COST">#REF!</definedName>
    <definedName name="IN_1_CAC_NGUON_QUY" localSheetId="6">#REF!</definedName>
    <definedName name="IN_1_CAC_NGUON_QUY">#REF!</definedName>
    <definedName name="INDMANP">#REF!</definedName>
    <definedName name="j356C8" localSheetId="6">#REF!</definedName>
    <definedName name="j356C8">#REF!</definedName>
    <definedName name="kcong" localSheetId="6">#REF!</definedName>
    <definedName name="kcong">#REF!</definedName>
    <definedName name="Kiem_tra_trung_ten" localSheetId="6">#REF!</definedName>
    <definedName name="KQ_Truong">#REF!</definedName>
    <definedName name="limcount" hidden="1">4</definedName>
    <definedName name="m" localSheetId="6">#REF!</definedName>
    <definedName name="m">#REF!</definedName>
    <definedName name="MAJ_CON_EQP">#REF!</definedName>
    <definedName name="MG_A" localSheetId="6">#REF!</definedName>
    <definedName name="MG_A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gaìy_traïnh_2" localSheetId="6">#REF!</definedName>
    <definedName name="Ngaìy_traïnh_2">#REF!</definedName>
    <definedName name="NH" localSheetId="6">#REF!</definedName>
    <definedName name="NH">#REF!</definedName>
    <definedName name="NHot" localSheetId="6">#REF!</definedName>
    <definedName name="NHot">#REF!</definedName>
    <definedName name="No" localSheetId="6">#REF!</definedName>
    <definedName name="No">#REF!</definedName>
    <definedName name="phu_luc_vua" localSheetId="6">#REF!</definedName>
    <definedName name="phu_luc_vua">#REF!</definedName>
    <definedName name="phuckhaoly">#REF!</definedName>
    <definedName name="_xlnm.Print_Area">#REF!</definedName>
    <definedName name="PRINT_AREA_MI">#REF!</definedName>
    <definedName name="_xlnm.Print_Titles" localSheetId="1">'PL1'!$5:$6</definedName>
    <definedName name="_xlnm.Print_Titles" localSheetId="2">'PL2'!$5:$6</definedName>
    <definedName name="_xlnm.Print_Titles" localSheetId="6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 localSheetId="6">#REF!</definedName>
    <definedName name="PROPOSAL">#REF!</definedName>
    <definedName name="PT_Duong" localSheetId="6">#REF!</definedName>
    <definedName name="PT_Duong">#REF!</definedName>
    <definedName name="ptdg" localSheetId="6">#REF!</definedName>
    <definedName name="ptdg">#REF!</definedName>
    <definedName name="PTDG_cau" localSheetId="6">#REF!</definedName>
    <definedName name="PTDG_cau">#REF!</definedName>
    <definedName name="sencount" hidden="1">4</definedName>
    <definedName name="SORT" localSheetId="6">#REF!</definedName>
    <definedName name="SORT">#REF!</definedName>
    <definedName name="SPEC" localSheetId="6">#REF!</definedName>
    <definedName name="SPEC">#REF!</definedName>
    <definedName name="SPECSUMMARY" localSheetId="6">#REF!</definedName>
    <definedName name="SPECSUMMARY">#REF!</definedName>
    <definedName name="Start_1" localSheetId="6">#REF!</definedName>
    <definedName name="Start_1">#REF!</definedName>
    <definedName name="Start_10" localSheetId="6">#REF!</definedName>
    <definedName name="Start_10">#REF!</definedName>
    <definedName name="Start_11" localSheetId="6">#REF!</definedName>
    <definedName name="Start_11">#REF!</definedName>
    <definedName name="Start_12" localSheetId="6">#REF!</definedName>
    <definedName name="Start_12">#REF!</definedName>
    <definedName name="Start_13" localSheetId="6">#REF!</definedName>
    <definedName name="Start_13">#REF!</definedName>
    <definedName name="Start_2" localSheetId="6">#REF!</definedName>
    <definedName name="Start_2">#REF!</definedName>
    <definedName name="Start_3" localSheetId="6">#REF!</definedName>
    <definedName name="Start_3">#REF!</definedName>
    <definedName name="Start_4" localSheetId="6">#REF!</definedName>
    <definedName name="Start_4">#REF!</definedName>
    <definedName name="Start_5" localSheetId="6">#REF!</definedName>
    <definedName name="Start_5">#REF!</definedName>
    <definedName name="Start_6" localSheetId="6">#REF!</definedName>
    <definedName name="Start_6">#REF!</definedName>
    <definedName name="Start_7" localSheetId="6">#REF!</definedName>
    <definedName name="Start_7">#REF!</definedName>
    <definedName name="Start_8" localSheetId="6">#REF!</definedName>
    <definedName name="Start_8">#REF!</definedName>
    <definedName name="Start_9" localSheetId="6">#REF!</definedName>
    <definedName name="Start_9">#REF!</definedName>
    <definedName name="SUMMARY">#REF!</definedName>
    <definedName name="T" localSheetId="6">#REF!</definedName>
    <definedName name="T">#REF!</definedName>
    <definedName name="TaxTV">10%</definedName>
    <definedName name="TaxXL">5%</definedName>
    <definedName name="Thaïng_1" localSheetId="6">#REF!</definedName>
    <definedName name="Thaïng_1">#REF!</definedName>
    <definedName name="Thaïng_3" localSheetId="6">#REF!</definedName>
    <definedName name="Thaïng_3">#REF!</definedName>
    <definedName name="Thaïng_4" localSheetId="6">#REF!</definedName>
    <definedName name="Thaïng_4">#REF!</definedName>
    <definedName name="Thaïng_5" localSheetId="6">#REF!</definedName>
    <definedName name="Thaïng_5">#REF!</definedName>
    <definedName name="Thaïng_6" localSheetId="6">#REF!</definedName>
    <definedName name="Thaïng_6">#REF!</definedName>
    <definedName name="Thaïng_7" localSheetId="6">#REF!</definedName>
    <definedName name="Thaïng_7">#REF!</definedName>
    <definedName name="Thaïng_8" localSheetId="6">#REF!</definedName>
    <definedName name="Thaïng_8">#REF!</definedName>
    <definedName name="Thaïng_9" localSheetId="6">#REF!</definedName>
    <definedName name="Thaïng_9">#REF!</definedName>
    <definedName name="Thaïng_X" localSheetId="6">#REF!</definedName>
    <definedName name="Thaïng_X">#REF!</definedName>
    <definedName name="Thaïng_XI" localSheetId="6">#REF!</definedName>
    <definedName name="Thaïng_XI">#REF!</definedName>
    <definedName name="Thaïng_XII" localSheetId="6">#REF!</definedName>
    <definedName name="Thaïng_XII">#REF!</definedName>
    <definedName name="Tien" localSheetId="6">#REF!</definedName>
    <definedName name="Tien">#REF!</definedName>
    <definedName name="Tim_Lan_Xuat_Hien" localSheetId="6">#REF!</definedName>
    <definedName name="Tle" localSheetId="6">#REF!</definedName>
    <definedName name="Tle">#REF!</definedName>
    <definedName name="Tra_DM_su_dung" localSheetId="6">#REF!</definedName>
    <definedName name="Tra_DM_su_dung">#REF!</definedName>
    <definedName name="Tra_don_gia_KS" localSheetId="6">#REF!</definedName>
    <definedName name="Tra_don_gia_KS">#REF!</definedName>
    <definedName name="Tra_DTCT" localSheetId="6">#REF!</definedName>
    <definedName name="Tra_DTCT">#REF!</definedName>
    <definedName name="Tra_tim_hang_mucPT_trung" localSheetId="6">#REF!</definedName>
    <definedName name="Tra_tim_hang_mucPT_trung">#REF!</definedName>
    <definedName name="Tra_TL" localSheetId="6">#REF!</definedName>
    <definedName name="Tra_TL">#REF!</definedName>
    <definedName name="Tra_ty_le2" localSheetId="6">#REF!</definedName>
    <definedName name="Tra_ty_le2">#REF!</definedName>
    <definedName name="Tra_ty_le3" localSheetId="6">#REF!</definedName>
    <definedName name="Tra_ty_le3">#REF!</definedName>
    <definedName name="Tra_ty_le4" localSheetId="6">#REF!</definedName>
    <definedName name="Tra_ty_le4">#REF!</definedName>
    <definedName name="Tra_ty_le5" localSheetId="6">#REF!</definedName>
    <definedName name="Tra_ty_le5">#REF!</definedName>
    <definedName name="TRA_VAT_LIEU" localSheetId="6">#REF!</definedName>
    <definedName name="tthi" localSheetId="6">#REF!</definedName>
    <definedName name="tthi">#REF!</definedName>
    <definedName name="ty_le" localSheetId="6">#REF!</definedName>
    <definedName name="ty_le">#REF!</definedName>
    <definedName name="ty_le_BTN" localSheetId="6">#REF!</definedName>
    <definedName name="ty_le_BTN">#REF!</definedName>
    <definedName name="Ty_le1" localSheetId="6">#REF!</definedName>
    <definedName name="Ty_le1">#REF!</definedName>
    <definedName name="VARIINST" localSheetId="6">#REF!</definedName>
    <definedName name="VARIINST">#REF!</definedName>
    <definedName name="VARIPURC" localSheetId="6">#REF!</definedName>
    <definedName name="VARIPURC">#REF!</definedName>
    <definedName name="W" localSheetId="6">#REF!</definedName>
    <definedName name="W">#REF!</definedName>
    <definedName name="wrn.chi._.tiÆt." hidden="1">{#N/A,#N/A,FALSE,"Chi tiÆt"}</definedName>
    <definedName name="X" localSheetId="6">#REF!</definedName>
    <definedName name="X">#REF!</definedName>
    <definedName name="XCCT">0.5</definedName>
    <definedName name="xh" localSheetId="6">#REF!</definedName>
    <definedName name="xh">#REF!</definedName>
    <definedName name="xn" localSheetId="6">#REF!</definedName>
    <definedName name="xn">#REF!</definedName>
    <definedName name="ZYX" localSheetId="6">#REF!</definedName>
    <definedName name="ZYX">#REF!</definedName>
    <definedName name="ZZZ" localSheetId="6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07" l="1"/>
  <c r="J30" i="107"/>
  <c r="H30" i="107"/>
  <c r="J36" i="107"/>
  <c r="L36" i="107" s="1"/>
  <c r="E34" i="107"/>
  <c r="F34" i="107"/>
  <c r="G34" i="107"/>
  <c r="H34" i="107"/>
  <c r="I34" i="107"/>
  <c r="J34" i="107"/>
  <c r="K34" i="107"/>
  <c r="L34" i="107"/>
  <c r="D34" i="107"/>
  <c r="L35" i="107"/>
  <c r="J35" i="107"/>
  <c r="H35" i="107"/>
  <c r="H35" i="109" l="1"/>
  <c r="M13" i="109"/>
  <c r="M21" i="109" s="1"/>
  <c r="K13" i="109"/>
  <c r="K20" i="109" s="1"/>
  <c r="K7" i="109"/>
  <c r="I7" i="109"/>
  <c r="J31" i="109"/>
  <c r="K31" i="109"/>
  <c r="L31" i="109"/>
  <c r="M31" i="109"/>
  <c r="N31" i="109"/>
  <c r="J13" i="109"/>
  <c r="J20" i="109" s="1"/>
  <c r="L13" i="109"/>
  <c r="L22" i="109" s="1"/>
  <c r="N13" i="109"/>
  <c r="N21" i="109" s="1"/>
  <c r="J7" i="109"/>
  <c r="N7" i="109"/>
  <c r="I32" i="109"/>
  <c r="I31" i="109" s="1"/>
  <c r="G32" i="109"/>
  <c r="F32" i="109"/>
  <c r="E32" i="109"/>
  <c r="D32" i="109"/>
  <c r="L21" i="109" l="1"/>
  <c r="J21" i="109"/>
  <c r="N22" i="109"/>
  <c r="N20" i="109"/>
  <c r="N19" i="109" s="1"/>
  <c r="M20" i="109"/>
  <c r="M22" i="109"/>
  <c r="M19" i="109" s="1"/>
  <c r="L20" i="109"/>
  <c r="L19" i="109"/>
  <c r="K21" i="109"/>
  <c r="K22" i="109"/>
  <c r="J22" i="109"/>
  <c r="J19" i="109" s="1"/>
  <c r="I13" i="109"/>
  <c r="M7" i="109"/>
  <c r="L7" i="109"/>
  <c r="K19" i="109" l="1"/>
  <c r="I22" i="109"/>
  <c r="I21" i="109"/>
  <c r="I20" i="109"/>
  <c r="I19" i="109" l="1"/>
  <c r="H33" i="109" l="1"/>
  <c r="H32" i="109"/>
  <c r="H31" i="109" l="1"/>
  <c r="E31" i="109"/>
  <c r="D31" i="109"/>
  <c r="F31" i="109"/>
  <c r="E27" i="109"/>
  <c r="H23" i="109"/>
  <c r="F18" i="109"/>
  <c r="E16" i="109"/>
  <c r="D16" i="109"/>
  <c r="F14" i="109"/>
  <c r="G12" i="109"/>
  <c r="G18" i="109" s="1"/>
  <c r="F12" i="109"/>
  <c r="D11" i="109"/>
  <c r="D9" i="109" s="1"/>
  <c r="D7" i="109" s="1"/>
  <c r="E10" i="109"/>
  <c r="G8" i="109"/>
  <c r="F8" i="109"/>
  <c r="H8" i="109" s="1"/>
  <c r="E7" i="109"/>
  <c r="F16" i="109" l="1"/>
  <c r="H12" i="109"/>
  <c r="G10" i="109"/>
  <c r="G16" i="109" s="1"/>
  <c r="E11" i="109"/>
  <c r="F10" i="109"/>
  <c r="H18" i="109"/>
  <c r="G14" i="109"/>
  <c r="D17" i="109"/>
  <c r="D15" i="109" s="1"/>
  <c r="E17" i="109"/>
  <c r="H10" i="109" l="1"/>
  <c r="G11" i="109"/>
  <c r="H16" i="109"/>
  <c r="F11" i="109"/>
  <c r="F9" i="109" s="1"/>
  <c r="F7" i="109" s="1"/>
  <c r="D13" i="109"/>
  <c r="D21" i="109" s="1"/>
  <c r="E15" i="109"/>
  <c r="F17" i="109"/>
  <c r="G17" i="109"/>
  <c r="G9" i="109"/>
  <c r="G7" i="109" s="1"/>
  <c r="H14" i="109"/>
  <c r="H11" i="109" l="1"/>
  <c r="H9" i="109" s="1"/>
  <c r="H7" i="109" s="1"/>
  <c r="H17" i="109"/>
  <c r="G15" i="109"/>
  <c r="F15" i="109"/>
  <c r="E13" i="109"/>
  <c r="E21" i="109" s="1"/>
  <c r="D22" i="109"/>
  <c r="D20" i="109"/>
  <c r="D19" i="109" s="1"/>
  <c r="H33" i="107"/>
  <c r="J33" i="107" s="1"/>
  <c r="L33" i="107" s="1"/>
  <c r="K32" i="107"/>
  <c r="I32" i="107"/>
  <c r="G32" i="107"/>
  <c r="F32" i="107"/>
  <c r="F31" i="107" s="1"/>
  <c r="E32" i="107"/>
  <c r="E31" i="107" s="1"/>
  <c r="D32" i="107"/>
  <c r="D31" i="107" s="1"/>
  <c r="L27" i="107"/>
  <c r="K27" i="107"/>
  <c r="E27" i="107"/>
  <c r="K23" i="107"/>
  <c r="H23" i="107"/>
  <c r="J23" i="107" s="1"/>
  <c r="F18" i="107"/>
  <c r="E16" i="107"/>
  <c r="E17" i="107" s="1"/>
  <c r="D16" i="107"/>
  <c r="D17" i="107" s="1"/>
  <c r="F14" i="107"/>
  <c r="I12" i="107"/>
  <c r="I18" i="107" s="1"/>
  <c r="G12" i="107"/>
  <c r="G18" i="107" s="1"/>
  <c r="F12" i="107"/>
  <c r="H12" i="107" s="1"/>
  <c r="D11" i="107"/>
  <c r="D9" i="107" s="1"/>
  <c r="D7" i="107" s="1"/>
  <c r="E10" i="107"/>
  <c r="E11" i="107" s="1"/>
  <c r="I8" i="107"/>
  <c r="I14" i="107" s="1"/>
  <c r="G8" i="107"/>
  <c r="F8" i="107"/>
  <c r="E7" i="107"/>
  <c r="J12" i="107" l="1"/>
  <c r="H32" i="107"/>
  <c r="H31" i="107" s="1"/>
  <c r="G31" i="107"/>
  <c r="F13" i="109"/>
  <c r="F21" i="109" s="1"/>
  <c r="H15" i="109"/>
  <c r="G13" i="109"/>
  <c r="G21" i="109" s="1"/>
  <c r="E22" i="109"/>
  <c r="E20" i="109"/>
  <c r="L23" i="107"/>
  <c r="J32" i="107"/>
  <c r="J31" i="107" s="1"/>
  <c r="D15" i="107"/>
  <c r="H8" i="107"/>
  <c r="J8" i="107" s="1"/>
  <c r="K12" i="107"/>
  <c r="L12" i="107" s="1"/>
  <c r="H18" i="107"/>
  <c r="J18" i="107"/>
  <c r="I31" i="107"/>
  <c r="F11" i="107"/>
  <c r="F10" i="107"/>
  <c r="K31" i="107"/>
  <c r="G10" i="107"/>
  <c r="F17" i="107"/>
  <c r="I11" i="107"/>
  <c r="I17" i="107" s="1"/>
  <c r="E15" i="107"/>
  <c r="E13" i="107" s="1"/>
  <c r="F16" i="107"/>
  <c r="I10" i="107"/>
  <c r="K18" i="107"/>
  <c r="L18" i="107" s="1"/>
  <c r="G11" i="107"/>
  <c r="G17" i="107" s="1"/>
  <c r="G14" i="107"/>
  <c r="D13" i="107" l="1"/>
  <c r="D21" i="107" s="1"/>
  <c r="L32" i="107"/>
  <c r="H17" i="107"/>
  <c r="E19" i="109"/>
  <c r="H13" i="109"/>
  <c r="H20" i="109" s="1"/>
  <c r="G22" i="109"/>
  <c r="G20" i="109"/>
  <c r="F20" i="109"/>
  <c r="F22" i="109"/>
  <c r="K17" i="107"/>
  <c r="L17" i="107" s="1"/>
  <c r="H14" i="107"/>
  <c r="K14" i="107"/>
  <c r="K8" i="107"/>
  <c r="J14" i="107"/>
  <c r="H11" i="107"/>
  <c r="J11" i="107" s="1"/>
  <c r="I16" i="107"/>
  <c r="I9" i="107"/>
  <c r="I7" i="107" s="1"/>
  <c r="F15" i="107"/>
  <c r="E21" i="107"/>
  <c r="J17" i="107"/>
  <c r="L31" i="107"/>
  <c r="H10" i="107"/>
  <c r="F9" i="107"/>
  <c r="G16" i="107"/>
  <c r="G9" i="107"/>
  <c r="G7" i="107" s="1"/>
  <c r="D20" i="107" l="1"/>
  <c r="D22" i="107"/>
  <c r="G19" i="109"/>
  <c r="H22" i="109"/>
  <c r="H21" i="109"/>
  <c r="F19" i="109"/>
  <c r="H16" i="107"/>
  <c r="J16" i="107" s="1"/>
  <c r="J15" i="107" s="1"/>
  <c r="G15" i="107"/>
  <c r="K16" i="107"/>
  <c r="K15" i="107" s="1"/>
  <c r="E20" i="107"/>
  <c r="E22" i="107"/>
  <c r="L8" i="107"/>
  <c r="F13" i="107"/>
  <c r="F7" i="107"/>
  <c r="J10" i="107"/>
  <c r="H9" i="107"/>
  <c r="H7" i="107" s="1"/>
  <c r="L14" i="107"/>
  <c r="I15" i="107"/>
  <c r="K11" i="107"/>
  <c r="L11" i="107" s="1"/>
  <c r="D19" i="107" l="1"/>
  <c r="H19" i="109"/>
  <c r="F20" i="107"/>
  <c r="F22" i="107"/>
  <c r="F21" i="107"/>
  <c r="I13" i="107"/>
  <c r="E19" i="107"/>
  <c r="J9" i="107"/>
  <c r="J7" i="107" s="1"/>
  <c r="K10" i="107"/>
  <c r="K9" i="107" s="1"/>
  <c r="K7" i="107" s="1"/>
  <c r="H15" i="107"/>
  <c r="G13" i="107"/>
  <c r="G21" i="107" s="1"/>
  <c r="L16" i="107"/>
  <c r="J13" i="107"/>
  <c r="J21" i="107" s="1"/>
  <c r="K13" i="107"/>
  <c r="F19" i="107" l="1"/>
  <c r="K22" i="107"/>
  <c r="K20" i="107"/>
  <c r="I22" i="107"/>
  <c r="I20" i="107"/>
  <c r="I21" i="107"/>
  <c r="H13" i="107"/>
  <c r="J22" i="107"/>
  <c r="J20" i="107"/>
  <c r="G22" i="107"/>
  <c r="G20" i="107"/>
  <c r="G19" i="107" s="1"/>
  <c r="L10" i="107"/>
  <c r="L15" i="107"/>
  <c r="K21" i="107"/>
  <c r="J19" i="107" l="1"/>
  <c r="L9" i="107"/>
  <c r="H22" i="107"/>
  <c r="H20" i="107"/>
  <c r="H21" i="107"/>
  <c r="I19" i="107"/>
  <c r="K19" i="107"/>
  <c r="L13" i="107"/>
  <c r="L22" i="107" l="1"/>
  <c r="L20" i="107"/>
  <c r="L21" i="107"/>
  <c r="H19" i="107"/>
  <c r="L7" i="107"/>
  <c r="L19" i="107" l="1"/>
  <c r="H171" i="101" l="1"/>
  <c r="G171" i="101"/>
  <c r="I171" i="101" s="1"/>
  <c r="H170" i="101"/>
  <c r="G170" i="101"/>
  <c r="I170" i="101" s="1"/>
  <c r="G169" i="101"/>
  <c r="H167" i="101"/>
  <c r="G167" i="101"/>
  <c r="I167" i="101" s="1"/>
  <c r="H166" i="101"/>
  <c r="G166" i="101"/>
  <c r="I166" i="101" s="1"/>
  <c r="G165" i="101"/>
  <c r="I165" i="101" s="1"/>
  <c r="F165" i="101"/>
  <c r="H165" i="101" s="1"/>
  <c r="G164" i="101"/>
  <c r="G163" i="101"/>
  <c r="G162" i="101"/>
  <c r="G161" i="101"/>
  <c r="I160" i="101"/>
  <c r="G159" i="101"/>
  <c r="G158" i="101"/>
  <c r="G157" i="101"/>
  <c r="I157" i="101" s="1"/>
  <c r="F157" i="101"/>
  <c r="H157" i="101" s="1"/>
  <c r="G156" i="101"/>
  <c r="I156" i="101" s="1"/>
  <c r="F156" i="101"/>
  <c r="H156" i="101" s="1"/>
  <c r="G155" i="101"/>
  <c r="I155" i="101" s="1"/>
  <c r="F155" i="101"/>
  <c r="H155" i="101" s="1"/>
  <c r="G154" i="101"/>
  <c r="G152" i="101"/>
  <c r="I152" i="101" s="1"/>
  <c r="G151" i="101"/>
  <c r="G150" i="101"/>
  <c r="I150" i="101" s="1"/>
  <c r="F150" i="101"/>
  <c r="H150" i="101" s="1"/>
  <c r="G149" i="101"/>
  <c r="I149" i="101" s="1"/>
  <c r="F149" i="101"/>
  <c r="H149" i="101" s="1"/>
  <c r="H148" i="101"/>
  <c r="G148" i="101"/>
  <c r="I148" i="101" s="1"/>
  <c r="G147" i="101"/>
  <c r="H146" i="101"/>
  <c r="G146" i="101"/>
  <c r="I146" i="101" s="1"/>
  <c r="G145" i="101"/>
  <c r="H144" i="101"/>
  <c r="G144" i="101"/>
  <c r="I144" i="101" s="1"/>
  <c r="H143" i="101"/>
  <c r="G143" i="101"/>
  <c r="I143" i="101" s="1"/>
  <c r="G142" i="101"/>
  <c r="I142" i="101" s="1"/>
  <c r="F142" i="101"/>
  <c r="H142" i="101" s="1"/>
  <c r="G141" i="101"/>
  <c r="I141" i="101" s="1"/>
  <c r="F141" i="101"/>
  <c r="H141" i="101" s="1"/>
  <c r="G140" i="101"/>
  <c r="I140" i="101" s="1"/>
  <c r="F140" i="101"/>
  <c r="H140" i="101" s="1"/>
  <c r="H139" i="101"/>
  <c r="G139" i="101"/>
  <c r="I139" i="101" s="1"/>
  <c r="K138" i="101"/>
  <c r="K139" i="101" s="1"/>
  <c r="G138" i="101"/>
  <c r="I138" i="101" s="1"/>
  <c r="F138" i="101"/>
  <c r="Q137" i="101"/>
  <c r="G137" i="101"/>
  <c r="I137" i="101" s="1"/>
  <c r="G136" i="101"/>
  <c r="G135" i="101"/>
  <c r="G134" i="101"/>
  <c r="G133" i="101"/>
  <c r="F133" i="101"/>
  <c r="G132" i="101"/>
  <c r="G131" i="101"/>
  <c r="I131" i="101" s="1"/>
  <c r="F131" i="101"/>
  <c r="H131" i="101" s="1"/>
  <c r="G130" i="101"/>
  <c r="I130" i="101" s="1"/>
  <c r="F130" i="101"/>
  <c r="H130" i="101" s="1"/>
  <c r="G129" i="101"/>
  <c r="G128" i="101"/>
  <c r="I128" i="101" s="1"/>
  <c r="F128" i="101"/>
  <c r="J128" i="101" s="1"/>
  <c r="G127" i="101"/>
  <c r="I127" i="101" s="1"/>
  <c r="F127" i="101"/>
  <c r="J127" i="101" s="1"/>
  <c r="G126" i="101"/>
  <c r="I126" i="101" s="1"/>
  <c r="F126" i="101"/>
  <c r="J126" i="101" s="1"/>
  <c r="G125" i="101"/>
  <c r="I125" i="101" s="1"/>
  <c r="F125" i="101"/>
  <c r="J125" i="101" s="1"/>
  <c r="G124" i="101"/>
  <c r="I124" i="101" s="1"/>
  <c r="F124" i="101"/>
  <c r="G123" i="101"/>
  <c r="I123" i="101" s="1"/>
  <c r="G122" i="101"/>
  <c r="I122" i="101" s="1"/>
  <c r="G121" i="101"/>
  <c r="F121" i="101"/>
  <c r="G120" i="101"/>
  <c r="F120" i="101"/>
  <c r="G119" i="101"/>
  <c r="F119" i="101"/>
  <c r="G118" i="101"/>
  <c r="G117" i="101"/>
  <c r="I117" i="101" s="1"/>
  <c r="F117" i="101"/>
  <c r="H117" i="101" s="1"/>
  <c r="G116" i="101"/>
  <c r="I116" i="101" s="1"/>
  <c r="F116" i="101"/>
  <c r="H116" i="101" s="1"/>
  <c r="G115" i="101"/>
  <c r="I115" i="101" s="1"/>
  <c r="F115" i="101"/>
  <c r="H115" i="101" s="1"/>
  <c r="G114" i="101"/>
  <c r="G113" i="101"/>
  <c r="I113" i="101" s="1"/>
  <c r="F113" i="101"/>
  <c r="H113" i="101" s="1"/>
  <c r="G112" i="101"/>
  <c r="I112" i="101" s="1"/>
  <c r="F112" i="101"/>
  <c r="H112" i="101" s="1"/>
  <c r="G111" i="101"/>
  <c r="I111" i="101" s="1"/>
  <c r="F111" i="101"/>
  <c r="H111" i="101" s="1"/>
  <c r="G110" i="101"/>
  <c r="G109" i="101"/>
  <c r="I109" i="101" s="1"/>
  <c r="F109" i="101"/>
  <c r="H109" i="101" s="1"/>
  <c r="G108" i="101"/>
  <c r="I108" i="101" s="1"/>
  <c r="F108" i="101"/>
  <c r="H108" i="101" s="1"/>
  <c r="G107" i="101"/>
  <c r="I107" i="101" s="1"/>
  <c r="F107" i="101"/>
  <c r="H107" i="101" s="1"/>
  <c r="G106" i="101"/>
  <c r="G105" i="101"/>
  <c r="I105" i="101" s="1"/>
  <c r="F105" i="101"/>
  <c r="H105" i="101" s="1"/>
  <c r="G104" i="101"/>
  <c r="I104" i="101" s="1"/>
  <c r="F104" i="101"/>
  <c r="H104" i="101" s="1"/>
  <c r="G103" i="101"/>
  <c r="I103" i="101" s="1"/>
  <c r="F103" i="101"/>
  <c r="H103" i="101" s="1"/>
  <c r="G102" i="101"/>
  <c r="G101" i="101"/>
  <c r="I101" i="101" s="1"/>
  <c r="F101" i="101"/>
  <c r="H101" i="101" s="1"/>
  <c r="G100" i="101"/>
  <c r="I100" i="101" s="1"/>
  <c r="F100" i="101"/>
  <c r="H100" i="101" s="1"/>
  <c r="G99" i="101"/>
  <c r="I99" i="101" s="1"/>
  <c r="F99" i="101"/>
  <c r="H99" i="101" s="1"/>
  <c r="G98" i="101"/>
  <c r="G97" i="101"/>
  <c r="I97" i="101" s="1"/>
  <c r="F97" i="101"/>
  <c r="H97" i="101" s="1"/>
  <c r="G96" i="101"/>
  <c r="I96" i="101" s="1"/>
  <c r="F96" i="101"/>
  <c r="H96" i="101" s="1"/>
  <c r="G95" i="101"/>
  <c r="I95" i="101" s="1"/>
  <c r="F95" i="101"/>
  <c r="H95" i="101" s="1"/>
  <c r="G94" i="101"/>
  <c r="G93" i="101"/>
  <c r="I93" i="101" s="1"/>
  <c r="F93" i="101"/>
  <c r="H93" i="101" s="1"/>
  <c r="G92" i="101"/>
  <c r="I92" i="101" s="1"/>
  <c r="F92" i="101"/>
  <c r="H92" i="101" s="1"/>
  <c r="G91" i="101"/>
  <c r="I91" i="101" s="1"/>
  <c r="F91" i="101"/>
  <c r="G90" i="101"/>
  <c r="G89" i="101"/>
  <c r="G88" i="101"/>
  <c r="G87" i="101"/>
  <c r="G86" i="101"/>
  <c r="F86" i="101"/>
  <c r="G85" i="101"/>
  <c r="F85" i="101"/>
  <c r="G84" i="101"/>
  <c r="F84" i="101"/>
  <c r="F83" i="101" s="1"/>
  <c r="G83" i="101"/>
  <c r="G82" i="101"/>
  <c r="I82" i="101" s="1"/>
  <c r="F82" i="101"/>
  <c r="H82" i="101" s="1"/>
  <c r="G81" i="101"/>
  <c r="I81" i="101" s="1"/>
  <c r="F81" i="101"/>
  <c r="H81" i="101" s="1"/>
  <c r="G80" i="101"/>
  <c r="I80" i="101" s="1"/>
  <c r="F80" i="101"/>
  <c r="H80" i="101" s="1"/>
  <c r="G79" i="101"/>
  <c r="G78" i="101"/>
  <c r="F78" i="101"/>
  <c r="G77" i="101"/>
  <c r="F77" i="101"/>
  <c r="G76" i="101"/>
  <c r="F76" i="101"/>
  <c r="G75" i="101"/>
  <c r="G74" i="101"/>
  <c r="G73" i="101"/>
  <c r="G72" i="101"/>
  <c r="G71" i="101"/>
  <c r="G70" i="101"/>
  <c r="F70" i="101"/>
  <c r="G69" i="101"/>
  <c r="F69" i="101"/>
  <c r="G68" i="101"/>
  <c r="F68" i="101"/>
  <c r="G67" i="101"/>
  <c r="G66" i="101"/>
  <c r="G65" i="101"/>
  <c r="I65" i="101" s="1"/>
  <c r="F65" i="101"/>
  <c r="H65" i="101" s="1"/>
  <c r="G64" i="101"/>
  <c r="I64" i="101" s="1"/>
  <c r="F64" i="101"/>
  <c r="H64" i="101" s="1"/>
  <c r="G63" i="101"/>
  <c r="I63" i="101" s="1"/>
  <c r="F63" i="101"/>
  <c r="H63" i="101" s="1"/>
  <c r="G62" i="101"/>
  <c r="G61" i="101"/>
  <c r="F61" i="101"/>
  <c r="G60" i="101"/>
  <c r="F60" i="101"/>
  <c r="G59" i="101"/>
  <c r="F59" i="101"/>
  <c r="G58" i="101"/>
  <c r="G57" i="101"/>
  <c r="F57" i="101"/>
  <c r="G56" i="101"/>
  <c r="F56" i="101"/>
  <c r="G55" i="101"/>
  <c r="F55" i="101"/>
  <c r="G54" i="101"/>
  <c r="G53" i="101"/>
  <c r="G52" i="101"/>
  <c r="F52" i="101"/>
  <c r="G51" i="101"/>
  <c r="F51" i="101"/>
  <c r="G50" i="101"/>
  <c r="F50" i="101"/>
  <c r="G49" i="101"/>
  <c r="G48" i="101"/>
  <c r="F48" i="101"/>
  <c r="G47" i="101"/>
  <c r="F47" i="101"/>
  <c r="G46" i="101"/>
  <c r="F46" i="101"/>
  <c r="G45" i="101"/>
  <c r="G44" i="101"/>
  <c r="G43" i="101"/>
  <c r="F43" i="101"/>
  <c r="H43" i="101" s="1"/>
  <c r="G42" i="101"/>
  <c r="F42" i="101"/>
  <c r="I42" i="101" s="1"/>
  <c r="G41" i="101"/>
  <c r="F41" i="101"/>
  <c r="H41" i="101" s="1"/>
  <c r="I40" i="101"/>
  <c r="G40" i="101"/>
  <c r="G39" i="101"/>
  <c r="F39" i="101"/>
  <c r="I39" i="101" s="1"/>
  <c r="G38" i="101"/>
  <c r="F38" i="101"/>
  <c r="I38" i="101" s="1"/>
  <c r="G37" i="101"/>
  <c r="F37" i="101"/>
  <c r="I37" i="101" s="1"/>
  <c r="I36" i="101"/>
  <c r="G36" i="101"/>
  <c r="G35" i="101"/>
  <c r="F35" i="101"/>
  <c r="I35" i="101" s="1"/>
  <c r="G34" i="101"/>
  <c r="F34" i="101"/>
  <c r="I34" i="101" s="1"/>
  <c r="G33" i="101"/>
  <c r="F33" i="101"/>
  <c r="I33" i="101" s="1"/>
  <c r="I32" i="101"/>
  <c r="G32" i="101"/>
  <c r="G31" i="101"/>
  <c r="F31" i="101"/>
  <c r="I31" i="101" s="1"/>
  <c r="G30" i="101"/>
  <c r="F30" i="101"/>
  <c r="H30" i="101" s="1"/>
  <c r="G29" i="101"/>
  <c r="F29" i="101"/>
  <c r="H29" i="101" s="1"/>
  <c r="M28" i="101"/>
  <c r="I28" i="101"/>
  <c r="G28" i="101"/>
  <c r="G27" i="101"/>
  <c r="F27" i="101"/>
  <c r="K27" i="101" s="1"/>
  <c r="G26" i="101"/>
  <c r="F26" i="101"/>
  <c r="H26" i="101" s="1"/>
  <c r="G25" i="101"/>
  <c r="G24" i="101"/>
  <c r="F24" i="101"/>
  <c r="I24" i="101" s="1"/>
  <c r="G23" i="101"/>
  <c r="F23" i="101"/>
  <c r="I23" i="101" s="1"/>
  <c r="G22" i="101"/>
  <c r="G21" i="101"/>
  <c r="G20" i="101"/>
  <c r="K19" i="101"/>
  <c r="G19" i="101"/>
  <c r="F19" i="101"/>
  <c r="I19" i="101" s="1"/>
  <c r="G18" i="101"/>
  <c r="F18" i="101"/>
  <c r="N18" i="101" s="1"/>
  <c r="G17" i="101"/>
  <c r="F17" i="101"/>
  <c r="N17" i="101" s="1"/>
  <c r="G16" i="101"/>
  <c r="F16" i="101"/>
  <c r="J16" i="101" s="1"/>
  <c r="K16" i="101" s="1"/>
  <c r="G15" i="101"/>
  <c r="F15" i="101"/>
  <c r="J15" i="101" s="1"/>
  <c r="K15" i="101" s="1"/>
  <c r="G14" i="101"/>
  <c r="G13" i="101"/>
  <c r="G12" i="101"/>
  <c r="F12" i="101"/>
  <c r="H12" i="101" s="1"/>
  <c r="G11" i="101"/>
  <c r="F11" i="101"/>
  <c r="I11" i="101" s="1"/>
  <c r="G10" i="101"/>
  <c r="F10" i="101"/>
  <c r="N10" i="101" s="1"/>
  <c r="G9" i="101"/>
  <c r="F9" i="101"/>
  <c r="N9" i="101" s="1"/>
  <c r="M8" i="101"/>
  <c r="G8" i="101"/>
  <c r="F8" i="101"/>
  <c r="N8" i="101" s="1"/>
  <c r="G7" i="101"/>
  <c r="G6" i="101"/>
  <c r="F137" i="101" l="1"/>
  <c r="F44" i="101"/>
  <c r="F66" i="101"/>
  <c r="I27" i="101"/>
  <c r="F123" i="101"/>
  <c r="J123" i="101" s="1"/>
  <c r="I8" i="101"/>
  <c r="J8" i="101"/>
  <c r="K8" i="101" s="1"/>
  <c r="J11" i="101"/>
  <c r="K11" i="101" s="1"/>
  <c r="N11" i="101"/>
  <c r="H24" i="101"/>
  <c r="H124" i="101"/>
  <c r="H42" i="101"/>
  <c r="H10" i="101"/>
  <c r="I29" i="101"/>
  <c r="N16" i="101"/>
  <c r="H31" i="101"/>
  <c r="F53" i="101"/>
  <c r="J124" i="101"/>
  <c r="I10" i="101"/>
  <c r="J10" i="101"/>
  <c r="K10" i="101" s="1"/>
  <c r="N15" i="101"/>
  <c r="I12" i="101"/>
  <c r="H27" i="101"/>
  <c r="F7" i="101"/>
  <c r="N7" i="101" s="1"/>
  <c r="H9" i="101"/>
  <c r="I9" i="101"/>
  <c r="J12" i="101"/>
  <c r="K12" i="101" s="1"/>
  <c r="H8" i="101"/>
  <c r="J9" i="101"/>
  <c r="K9" i="101" s="1"/>
  <c r="H11" i="101"/>
  <c r="N12" i="101"/>
  <c r="F89" i="101"/>
  <c r="H126" i="101"/>
  <c r="H137" i="101"/>
  <c r="F152" i="101"/>
  <c r="H152" i="101" s="1"/>
  <c r="F153" i="101"/>
  <c r="L9" i="101"/>
  <c r="H15" i="101"/>
  <c r="I16" i="101"/>
  <c r="J17" i="101"/>
  <c r="K17" i="101" s="1"/>
  <c r="I26" i="101"/>
  <c r="I30" i="101"/>
  <c r="I41" i="101"/>
  <c r="I43" i="101"/>
  <c r="F88" i="101"/>
  <c r="H125" i="101"/>
  <c r="H138" i="101"/>
  <c r="H18" i="101"/>
  <c r="H19" i="101"/>
  <c r="F14" i="101"/>
  <c r="H17" i="101"/>
  <c r="I18" i="101"/>
  <c r="H23" i="101"/>
  <c r="H16" i="101"/>
  <c r="I17" i="101"/>
  <c r="J18" i="101"/>
  <c r="K18" i="101" s="1"/>
  <c r="H91" i="101"/>
  <c r="H128" i="101"/>
  <c r="I15" i="101"/>
  <c r="H127" i="101"/>
  <c r="F122" i="101" l="1"/>
  <c r="K122" i="101" s="1"/>
  <c r="K123" i="101"/>
  <c r="H123" i="101"/>
  <c r="I7" i="101"/>
  <c r="H7" i="101"/>
  <c r="J7" i="101"/>
  <c r="K7" i="101" s="1"/>
  <c r="F6" i="101"/>
  <c r="J6" i="101" s="1"/>
  <c r="K6" i="101" s="1"/>
  <c r="J14" i="101"/>
  <c r="K14" i="101" s="1"/>
  <c r="N14" i="101"/>
  <c r="I14" i="101"/>
  <c r="F13" i="101"/>
  <c r="L14" i="101" s="1"/>
  <c r="H14" i="101"/>
  <c r="G153" i="101"/>
  <c r="I153" i="101" s="1"/>
  <c r="H153" i="101"/>
  <c r="O32" i="99"/>
  <c r="Q11" i="99"/>
  <c r="Q10" i="99"/>
  <c r="R35" i="99"/>
  <c r="O45" i="99"/>
  <c r="P45" i="99" s="1"/>
  <c r="N13" i="99"/>
  <c r="H122" i="101" l="1"/>
  <c r="I6" i="101"/>
  <c r="N6" i="101"/>
  <c r="H6" i="101"/>
  <c r="N13" i="101"/>
  <c r="J13" i="101"/>
  <c r="K13" i="101" s="1"/>
  <c r="I13" i="101"/>
  <c r="H13" i="101"/>
  <c r="L19" i="101"/>
  <c r="L18" i="101"/>
  <c r="H76" i="99" l="1"/>
  <c r="H75" i="99"/>
  <c r="H74" i="99"/>
  <c r="H73" i="99"/>
  <c r="H72" i="99"/>
  <c r="H71" i="99"/>
  <c r="H69" i="99"/>
  <c r="H68" i="99"/>
  <c r="H64" i="99"/>
  <c r="H63" i="99"/>
  <c r="H62" i="99"/>
  <c r="G62" i="99"/>
  <c r="I61" i="99"/>
  <c r="H61" i="99"/>
  <c r="G61" i="99"/>
  <c r="H60" i="99"/>
  <c r="I60" i="99" s="1"/>
  <c r="H59" i="99"/>
  <c r="I59" i="99" s="1"/>
  <c r="H58" i="99"/>
  <c r="M57" i="99"/>
  <c r="H57" i="99"/>
  <c r="M56" i="99"/>
  <c r="H56" i="99"/>
  <c r="M55" i="99"/>
  <c r="M54" i="99"/>
  <c r="H54" i="99"/>
  <c r="H53" i="99"/>
  <c r="G53" i="99" s="1"/>
  <c r="M52" i="99"/>
  <c r="L52" i="99"/>
  <c r="K52" i="99"/>
  <c r="J52" i="99"/>
  <c r="M51" i="99"/>
  <c r="L51" i="99"/>
  <c r="K51" i="99"/>
  <c r="J51" i="99"/>
  <c r="M50" i="99"/>
  <c r="L50" i="99"/>
  <c r="K50" i="99"/>
  <c r="J50" i="99"/>
  <c r="M49" i="99"/>
  <c r="L49" i="99"/>
  <c r="K49" i="99"/>
  <c r="J49" i="99"/>
  <c r="M48" i="99"/>
  <c r="L48" i="99"/>
  <c r="K48" i="99"/>
  <c r="J48" i="99"/>
  <c r="M47" i="99"/>
  <c r="L47" i="99"/>
  <c r="K47" i="99"/>
  <c r="J47" i="99"/>
  <c r="P46" i="99"/>
  <c r="H46" i="99"/>
  <c r="G46" i="99" s="1"/>
  <c r="M45" i="99"/>
  <c r="K45" i="99"/>
  <c r="J45" i="99"/>
  <c r="H45" i="99"/>
  <c r="L45" i="99" s="1"/>
  <c r="P44" i="99"/>
  <c r="M44" i="99"/>
  <c r="L44" i="99"/>
  <c r="K44" i="99"/>
  <c r="J44" i="99"/>
  <c r="H43" i="99"/>
  <c r="L43" i="99" s="1"/>
  <c r="M42" i="99"/>
  <c r="L42" i="99"/>
  <c r="K42" i="99"/>
  <c r="J42" i="99"/>
  <c r="H41" i="99"/>
  <c r="L40" i="99"/>
  <c r="K40" i="99"/>
  <c r="J40" i="99"/>
  <c r="G39" i="99"/>
  <c r="P38" i="99"/>
  <c r="M38" i="99"/>
  <c r="L38" i="99"/>
  <c r="K38" i="99"/>
  <c r="J38" i="99"/>
  <c r="M37" i="99"/>
  <c r="L37" i="99"/>
  <c r="K37" i="99"/>
  <c r="J37" i="99"/>
  <c r="M36" i="99"/>
  <c r="L36" i="99"/>
  <c r="K36" i="99"/>
  <c r="J36" i="99"/>
  <c r="M35" i="99"/>
  <c r="L35" i="99"/>
  <c r="K35" i="99"/>
  <c r="J35" i="99"/>
  <c r="M34" i="99"/>
  <c r="L34" i="99"/>
  <c r="K34" i="99"/>
  <c r="J34" i="99"/>
  <c r="M33" i="99"/>
  <c r="L33" i="99"/>
  <c r="K33" i="99"/>
  <c r="J33" i="99"/>
  <c r="M32" i="99"/>
  <c r="K32" i="99"/>
  <c r="J32" i="99"/>
  <c r="H32" i="99"/>
  <c r="L32" i="99" s="1"/>
  <c r="O31" i="99"/>
  <c r="P31" i="99" s="1"/>
  <c r="M31" i="99"/>
  <c r="L31" i="99"/>
  <c r="K31" i="99"/>
  <c r="J31" i="99"/>
  <c r="M30" i="99"/>
  <c r="K30" i="99"/>
  <c r="J30" i="99"/>
  <c r="H30" i="99"/>
  <c r="L30" i="99" s="1"/>
  <c r="M29" i="99"/>
  <c r="K29" i="99"/>
  <c r="J29" i="99"/>
  <c r="H29" i="99"/>
  <c r="L29" i="99" s="1"/>
  <c r="M28" i="99"/>
  <c r="H28" i="99"/>
  <c r="P27" i="99"/>
  <c r="M27" i="99"/>
  <c r="K27" i="99"/>
  <c r="J27" i="99"/>
  <c r="H27" i="99"/>
  <c r="L27" i="99" s="1"/>
  <c r="M26" i="99"/>
  <c r="K26" i="99"/>
  <c r="J26" i="99"/>
  <c r="H26" i="99"/>
  <c r="L26" i="99" s="1"/>
  <c r="H25" i="99"/>
  <c r="G25" i="99" s="1"/>
  <c r="M24" i="99"/>
  <c r="L24" i="99"/>
  <c r="K24" i="99"/>
  <c r="J24" i="99"/>
  <c r="M23" i="99"/>
  <c r="L23" i="99"/>
  <c r="K23" i="99"/>
  <c r="J23" i="99"/>
  <c r="G22" i="99"/>
  <c r="M21" i="99"/>
  <c r="L21" i="99"/>
  <c r="K21" i="99"/>
  <c r="J21" i="99"/>
  <c r="M20" i="99"/>
  <c r="L20" i="99"/>
  <c r="K20" i="99"/>
  <c r="J20" i="99"/>
  <c r="H19" i="99"/>
  <c r="G19" i="99" s="1"/>
  <c r="H18" i="99"/>
  <c r="G18" i="99" s="1"/>
  <c r="M17" i="99"/>
  <c r="L17" i="99"/>
  <c r="K17" i="99"/>
  <c r="J17" i="99"/>
  <c r="M16" i="99"/>
  <c r="L16" i="99"/>
  <c r="K16" i="99"/>
  <c r="J16" i="99"/>
  <c r="H15" i="99"/>
  <c r="G15" i="99" s="1"/>
  <c r="M14" i="99"/>
  <c r="L14" i="99"/>
  <c r="K14" i="99"/>
  <c r="J14" i="99"/>
  <c r="M13" i="99"/>
  <c r="L13" i="99"/>
  <c r="K13" i="99"/>
  <c r="J13" i="99"/>
  <c r="H12" i="99"/>
  <c r="G12" i="99" s="1"/>
  <c r="M11" i="99"/>
  <c r="K11" i="99"/>
  <c r="J11" i="99"/>
  <c r="H11" i="99"/>
  <c r="M10" i="99"/>
  <c r="K10" i="99"/>
  <c r="J10" i="99"/>
  <c r="H10" i="99"/>
  <c r="L10" i="99" s="1"/>
  <c r="H9" i="99"/>
  <c r="H8" i="99"/>
  <c r="M7" i="99"/>
  <c r="L7" i="99"/>
  <c r="K7" i="99"/>
  <c r="J7" i="99"/>
  <c r="L11" i="99" l="1"/>
  <c r="P48" i="9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F143" authorId="0" shapeId="0" xr:uid="{2D3E62DF-2354-4461-ADE4-B82956CC0A1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Công ty lâm nghiệp trồng rừng 260ha; Các xã, thị trấn trồng cây phân tán 1721,26ha</t>
        </r>
      </text>
    </comment>
    <comment ref="F152" authorId="0" shapeId="0" xr:uid="{B2C65B76-8AE3-4DEB-8843-452F496C1FCE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8,8 theo QĐ682 ngày 26/1/2024 của UBND huyện</t>
        </r>
      </text>
    </comment>
    <comment ref="G152" authorId="0" shapeId="0" xr:uid="{923E6EC1-DE38-48C6-BB6F-05415C30114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8,8 theo QĐ682 ngày 26/1/2024 của UBND huyện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DMS</author>
  </authors>
  <commentList>
    <comment ref="E40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DMS:</t>
        </r>
        <r>
          <rPr>
            <sz val="9"/>
            <color indexed="81"/>
            <rFont val="Tahoma"/>
            <family val="2"/>
          </rPr>
          <t xml:space="preserve">
25MW = 25,000kw * 365 ngày *bq 3,4giờ/ngày *1,943đ = 60,2tỷ</t>
        </r>
      </text>
    </comment>
    <comment ref="I61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DMS:</t>
        </r>
        <r>
          <rPr>
            <sz val="9"/>
            <color indexed="81"/>
            <rFont val="Tahoma"/>
            <family val="2"/>
          </rPr>
          <t xml:space="preserve">
Từ thôn cư tê đi Ea Rớt 11km</t>
        </r>
      </text>
    </comment>
  </commentList>
</comments>
</file>

<file path=xl/sharedStrings.xml><?xml version="1.0" encoding="utf-8"?>
<sst xmlns="http://schemas.openxmlformats.org/spreadsheetml/2006/main" count="639" uniqueCount="312">
  <si>
    <t>%</t>
  </si>
  <si>
    <t>"</t>
  </si>
  <si>
    <t>Chỉ tiêu</t>
  </si>
  <si>
    <t>So sánh (%)</t>
  </si>
  <si>
    <t xml:space="preserve"> - Nông nghiệp</t>
  </si>
  <si>
    <t xml:space="preserve"> - Thuỷ sản</t>
  </si>
  <si>
    <t xml:space="preserve"> - Lâm nghiệp</t>
  </si>
  <si>
    <t>Tỷ đồng</t>
  </si>
  <si>
    <t>*</t>
  </si>
  <si>
    <t>Số TT</t>
  </si>
  <si>
    <t>Đơn vị tính</t>
  </si>
  <si>
    <t>**Our Values and Paths**</t>
  </si>
  <si>
    <t>**Set Our Values and Paths**</t>
  </si>
  <si>
    <t>bieu kh 2009.xls</t>
  </si>
  <si>
    <t>C:\Documents and Settings\0\Application Data\Microsoft\Excel\XLSTART\Book1.</t>
  </si>
  <si>
    <t>**Add New Workbook, Infect It, Save It As Book1.**</t>
  </si>
  <si>
    <t>**Infect Workbook**</t>
  </si>
  <si>
    <t>**Auto and On Sheet Starts Here**</t>
  </si>
  <si>
    <t>Ước thực hiện cả năm</t>
  </si>
  <si>
    <t>ha</t>
  </si>
  <si>
    <t>Năm 2024</t>
  </si>
  <si>
    <t>TT</t>
  </si>
  <si>
    <t>CÁC CHỈ TIÊU KẾ HOẠCH PHÁT TRIỂN KINH TẾ - XÃ HỘI</t>
  </si>
  <si>
    <t>(Kèm theo Báo cáo số:       /BC-KTHT, ngày      /      /2024 của Phòng Kinh tế và Hạ tầng huyện Krông Bông)</t>
  </si>
  <si>
    <t>ĐVT: Đồng</t>
  </si>
  <si>
    <t>Đơn vị 
tính</t>
  </si>
  <si>
    <t>Kế hoạch 2022</t>
  </si>
  <si>
    <t>Kế hoạch</t>
  </si>
  <si>
    <t>Ước thực hiện 6 tháng</t>
  </si>
  <si>
    <t>KH 2022/ƯTH 2021</t>
  </si>
  <si>
    <t xml:space="preserve"> - Tổng mức bán lẻ HH và DV tiêu dùng</t>
  </si>
  <si>
    <t xml:space="preserve">  Giá trị sản xuất </t>
  </si>
  <si>
    <t>a</t>
  </si>
  <si>
    <t>Giá trị sản xuất công nghiệp</t>
  </si>
  <si>
    <t xml:space="preserve"> Giá so sánh năm 2010</t>
  </si>
  <si>
    <t xml:space="preserve"> Giá hiện hành</t>
  </si>
  <si>
    <t>b</t>
  </si>
  <si>
    <t xml:space="preserve"> Giá trị sản xuất xây dựng</t>
  </si>
  <si>
    <t>c</t>
  </si>
  <si>
    <t>Giá trị sản xuất thương mại - dịch vụ</t>
  </si>
  <si>
    <t xml:space="preserve">  Giá trị gia tăng</t>
  </si>
  <si>
    <t>Giá trị gia tăng công nghiệp, xây dựng</t>
  </si>
  <si>
    <t>Giá trị gia tăng thương mại - dịch vụ</t>
  </si>
  <si>
    <t xml:space="preserve"> Sản phẩm công nghiệp chủ yếu</t>
  </si>
  <si>
    <t xml:space="preserve"> - Đá xây dựng các loại</t>
  </si>
  <si>
    <r>
      <t>1.000 m</t>
    </r>
    <r>
      <rPr>
        <vertAlign val="superscript"/>
        <sz val="8"/>
        <rFont val="Times New Roman"/>
        <family val="1"/>
      </rPr>
      <t>3</t>
    </r>
  </si>
  <si>
    <t xml:space="preserve"> - Cát xây dựng</t>
  </si>
  <si>
    <t xml:space="preserve"> - Gạch nung quy chuẩn</t>
  </si>
  <si>
    <t>Triệu viên</t>
  </si>
  <si>
    <t xml:space="preserve"> - Đá cây, nước tinh khiết</t>
  </si>
  <si>
    <t>Tấn</t>
  </si>
  <si>
    <t xml:space="preserve"> - Xay xát lương thực</t>
  </si>
  <si>
    <t>1.000 Tấn</t>
  </si>
  <si>
    <t xml:space="preserve"> - Tinh bột sắn</t>
  </si>
  <si>
    <t>tấn</t>
  </si>
  <si>
    <t xml:space="preserve"> - Dày dép các loại</t>
  </si>
  <si>
    <t>1.000 đôi</t>
  </si>
  <si>
    <t xml:space="preserve"> - Gia công quần áo</t>
  </si>
  <si>
    <t>1.000 bộ</t>
  </si>
  <si>
    <t xml:space="preserve"> - Gỗ xẻ các loại</t>
  </si>
  <si>
    <r>
      <t xml:space="preserve"> 1000m</t>
    </r>
    <r>
      <rPr>
        <vertAlign val="superscript"/>
        <sz val="8"/>
        <rFont val="Times New Roman"/>
        <family val="1"/>
      </rPr>
      <t>3</t>
    </r>
  </si>
  <si>
    <t xml:space="preserve"> - Cửa sắt, hàng rào sắt các loại</t>
  </si>
  <si>
    <r>
      <t>1.000 m</t>
    </r>
    <r>
      <rPr>
        <vertAlign val="superscript"/>
        <sz val="8"/>
        <rFont val="Times New Roman"/>
        <family val="1"/>
      </rPr>
      <t>2</t>
    </r>
  </si>
  <si>
    <t xml:space="preserve"> - Cán tôn</t>
  </si>
  <si>
    <t xml:space="preserve"> - Mộc dân dụng</t>
  </si>
  <si>
    <t>1000Bộ</t>
  </si>
  <si>
    <t xml:space="preserve"> -Sản xuất Điện</t>
  </si>
  <si>
    <r>
      <t>10</t>
    </r>
    <r>
      <rPr>
        <vertAlign val="superscript"/>
        <sz val="8"/>
        <rFont val="Times New Roman"/>
        <family val="1"/>
      </rPr>
      <t>6</t>
    </r>
    <r>
      <rPr>
        <sz val="8"/>
        <rFont val="Times New Roman"/>
        <family val="1"/>
      </rPr>
      <t xml:space="preserve"> Kwh</t>
    </r>
  </si>
  <si>
    <t>- Công suất điện mặt trời áp mái</t>
  </si>
  <si>
    <r>
      <t>10</t>
    </r>
    <r>
      <rPr>
        <vertAlign val="superscript"/>
        <sz val="8"/>
        <rFont val="Times New Roman"/>
        <family val="1"/>
      </rPr>
      <t>6</t>
    </r>
    <r>
      <rPr>
        <sz val="8"/>
        <rFont val="Times New Roman"/>
        <family val="1"/>
      </rPr>
      <t xml:space="preserve"> KwP</t>
    </r>
  </si>
  <si>
    <t xml:space="preserve"> - Sản lượng điện mặt trời áp mái</t>
  </si>
  <si>
    <r>
      <t>10</t>
    </r>
    <r>
      <rPr>
        <vertAlign val="superscript"/>
        <sz val="8"/>
        <rFont val="Times New Roman"/>
        <family val="1"/>
      </rPr>
      <t>6</t>
    </r>
    <r>
      <rPr>
        <sz val="8"/>
        <rFont val="Times New Roman"/>
        <family val="1"/>
      </rPr>
      <t>KWh</t>
    </r>
  </si>
  <si>
    <t xml:space="preserve"> - Đá ốp lát</t>
  </si>
  <si>
    <t>1.000 m2</t>
  </si>
  <si>
    <t xml:space="preserve"> - Nước máy ghi thu</t>
  </si>
  <si>
    <t>1000m3</t>
  </si>
  <si>
    <t xml:space="preserve"> - Gạch không nung</t>
  </si>
  <si>
    <t>Triệu viên</t>
  </si>
  <si>
    <t xml:space="preserve"> - Sản phẩm cơm cháy</t>
  </si>
  <si>
    <t xml:space="preserve"> - Bã sắn sấy khô</t>
  </si>
  <si>
    <t>1000 Tấn</t>
  </si>
  <si>
    <t xml:space="preserve"> Giao thông vận tải</t>
  </si>
  <si>
    <t xml:space="preserve"> - Khối lượng vận chuyển hàng hóa</t>
  </si>
  <si>
    <t>nghìn tấn</t>
  </si>
  <si>
    <t xml:space="preserve"> - Khối lượng luân chuyển hàng hóa</t>
  </si>
  <si>
    <t>triệu tấn.km</t>
  </si>
  <si>
    <t xml:space="preserve"> - Khối lượng vận chuyển hành khách</t>
  </si>
  <si>
    <t>nghìn người</t>
  </si>
  <si>
    <t>CĐ</t>
  </si>
  <si>
    <t xml:space="preserve"> - Khối lượng luân chuyển hành khách</t>
  </si>
  <si>
    <t>triệu ng.km</t>
  </si>
  <si>
    <t xml:space="preserve"> - Doanh thu vận tải hàng hoá</t>
  </si>
  <si>
    <t xml:space="preserve"> - Doanh thu vận tải hành khách</t>
  </si>
  <si>
    <t xml:space="preserve"> Các chỉ tiêu phát triển hạ tầng </t>
  </si>
  <si>
    <t xml:space="preserve"> - Tỷ lệ xã có điện</t>
  </si>
  <si>
    <t xml:space="preserve"> - Tỷ lệ số hộ được sử dụng điện (23650/23965)</t>
  </si>
  <si>
    <t xml:space="preserve"> - Tỷ lệ thôn, buôn có điện (131/133) </t>
  </si>
  <si>
    <t xml:space="preserve"> - Số xã có chợ xã/liên xã</t>
  </si>
  <si>
    <t>xã</t>
  </si>
  <si>
    <t xml:space="preserve"> - Tổng số Km đường tỉnh</t>
  </si>
  <si>
    <t>Km</t>
  </si>
  <si>
    <t xml:space="preserve"> - Tổng số Km đường huyện</t>
  </si>
  <si>
    <t xml:space="preserve"> - Tổng số Km đường xã</t>
  </si>
  <si>
    <t xml:space="preserve"> - Tổng số Km đường trục thôn xóm</t>
  </si>
  <si>
    <t xml:space="preserve"> - Tổng số Km đường ngõ xóm (không lầy lội vào mùa mưa</t>
  </si>
  <si>
    <t xml:space="preserve"> - Tổng số Km đường giao thông nội đồng</t>
  </si>
  <si>
    <t xml:space="preserve"> - Tỷ lệ nhựa hóa, bê tông hóa đường tỉnh</t>
  </si>
  <si>
    <t xml:space="preserve"> - Tỷ lệ nhựa hóa, bê tông hóa đường huyện</t>
  </si>
  <si>
    <t xml:space="preserve"> - Tỷ lệ nhựa hóa, bê tông hóa đường xã</t>
  </si>
  <si>
    <t xml:space="preserve"> - Tỷ lệ nhựa hóa, bê tông hóa đường trục thôn xóm</t>
  </si>
  <si>
    <t xml:space="preserve"> - Tỷ lệ nhựa hóa, bê tông hóa đường ngõ xóm (không lầy lội vào mùa mưa</t>
  </si>
  <si>
    <t xml:space="preserve"> - Tỷ lệ nhựa hóa, bê tông hóa, cứng hóa đường nội đồng</t>
  </si>
  <si>
    <t>Dịch vụ thương mại</t>
  </si>
  <si>
    <t>Siêu thị điện máy xanh</t>
  </si>
  <si>
    <t>Siêu thị bách hoá xanh</t>
  </si>
  <si>
    <t xml:space="preserve">Cửa hàng tiện lợi </t>
  </si>
  <si>
    <t>Khí đốt hoá lỏng</t>
  </si>
  <si>
    <t>Hạ tầng cụm công nghiệp</t>
  </si>
  <si>
    <t>Cửa hàng xăng dầu</t>
  </si>
  <si>
    <t>1000 quả</t>
  </si>
  <si>
    <t>tổng giảm 66 tỷ</t>
  </si>
  <si>
    <t>Thực hiên quý II năm 2024</t>
  </si>
  <si>
    <t>Thực hiện năm 2024</t>
  </si>
  <si>
    <t>Năm 2025</t>
  </si>
  <si>
    <t>So cùng kỳ 2024</t>
  </si>
  <si>
    <t>ƯTH 6T 2025/
KH 2025</t>
  </si>
  <si>
    <t>ƯTH 2025/
KH 2024</t>
  </si>
  <si>
    <t>ĐÁNH GIÁ CHỈ TIÊU PHÁT TRIỂN  NĂM 2025</t>
  </si>
  <si>
    <t>(kèm theo báo cáo số:     /BC-NNMT ngày      /    /2024 của Phòng Nông nghiệp và MT)</t>
  </si>
  <si>
    <t>năm 2025</t>
  </si>
  <si>
    <t>9 tháng</t>
  </si>
  <si>
    <t>cả năm</t>
  </si>
  <si>
    <t>6 tháng 2025</t>
  </si>
  <si>
    <t>Ước T/H cả năm</t>
  </si>
  <si>
    <t>6 tháng 2025/ KH 2025</t>
  </si>
  <si>
    <r>
      <t xml:space="preserve">Năm  2025/ </t>
    </r>
    <r>
      <rPr>
        <b/>
        <sz val="10"/>
        <rFont val="Times New Roman"/>
        <family val="1"/>
      </rPr>
      <t>thực hiện năm</t>
    </r>
    <r>
      <rPr>
        <b/>
        <sz val="11"/>
        <rFont val="Times New Roman"/>
        <family val="1"/>
      </rPr>
      <t xml:space="preserve"> 2024</t>
    </r>
  </si>
  <si>
    <t>A. GT SX NÔNG, LÂM, NGƯ NGHIỆP</t>
  </si>
  <si>
    <t>I. Giá so sánh năm 2010</t>
  </si>
  <si>
    <t xml:space="preserve">Tỷ đồng </t>
  </si>
  <si>
    <t>Trong đó:  + Trồng trọt</t>
  </si>
  <si>
    <t xml:space="preserve">                   + Chăn nuôi</t>
  </si>
  <si>
    <t xml:space="preserve">                  + Dịch vụ nông nghiệp</t>
  </si>
  <si>
    <t>II. Giá hiện hành</t>
  </si>
  <si>
    <t>B. SẢN PHẨM CHỦ YẾU</t>
  </si>
  <si>
    <t>I. Nông nghiệp</t>
  </si>
  <si>
    <t>1. Trồng trọt</t>
  </si>
  <si>
    <t xml:space="preserve">   - Tổng diện tích cây trồng</t>
  </si>
  <si>
    <t>1.1. Cây hàng năm</t>
  </si>
  <si>
    <t xml:space="preserve"> ha</t>
  </si>
  <si>
    <t>a. Cây lương thực có hạt</t>
  </si>
  <si>
    <t>Tổng diện tích cây trồng</t>
  </si>
  <si>
    <t>Tổng Sản lượng lương thực</t>
  </si>
  <si>
    <t>a1. Lúa nước Đông xuân</t>
  </si>
  <si>
    <t xml:space="preserve">   + Diện tích  </t>
  </si>
  <si>
    <t xml:space="preserve">   + Năng suất </t>
  </si>
  <si>
    <t>tạ/ha</t>
  </si>
  <si>
    <t xml:space="preserve">   + Sản lượng</t>
  </si>
  <si>
    <t>a2. Lúa nước vụ Mùa</t>
  </si>
  <si>
    <t>a3. Lúa cạn</t>
  </si>
  <si>
    <t>a4. Ngô</t>
  </si>
  <si>
    <t>b. Cây chất bột có củ</t>
  </si>
  <si>
    <t>b1. Lang</t>
  </si>
  <si>
    <t>b2. Sắn (Mỳ)</t>
  </si>
  <si>
    <t>c. Cây thực phẩm</t>
  </si>
  <si>
    <t>c1. Đậu xanh</t>
  </si>
  <si>
    <t>c2. Đậu các loại</t>
  </si>
  <si>
    <t>c3. Rau, dưa</t>
  </si>
  <si>
    <t xml:space="preserve"> tạ/ha</t>
  </si>
  <si>
    <t>d. Cây công ngiệp ngắn ngày</t>
  </si>
  <si>
    <t>d1. Lạc</t>
  </si>
  <si>
    <t>d2. Tương</t>
  </si>
  <si>
    <t>d3. Mía</t>
  </si>
  <si>
    <t>d4. Thuốc lá</t>
  </si>
  <si>
    <t>e. Cây thức ăn chăn nuôi</t>
  </si>
  <si>
    <t>f. Cây khác (...)</t>
  </si>
  <si>
    <t>1.2. Diện tích cây lâu năm</t>
  </si>
  <si>
    <t>a. Cây công nghiệp dài ngày</t>
  </si>
  <si>
    <t>a1. Cà phê</t>
  </si>
  <si>
    <t>a2. Điều</t>
  </si>
  <si>
    <t>a3. Cây Tiêu</t>
  </si>
  <si>
    <t>a4. Ca cao</t>
  </si>
  <si>
    <t>a5. Cao Su</t>
  </si>
  <si>
    <t>a6. Dâu tằm</t>
  </si>
  <si>
    <t>b. Cây ăn quả</t>
  </si>
  <si>
    <t>Cây dứa</t>
  </si>
  <si>
    <t xml:space="preserve"> 2. Chăn nuôi</t>
  </si>
  <si>
    <t>con</t>
  </si>
  <si>
    <t>a. Tổng đàn gia súc</t>
  </si>
  <si>
    <t xml:space="preserve">  - Đàn trâu</t>
  </si>
  <si>
    <t>Con</t>
  </si>
  <si>
    <t xml:space="preserve">  - Đàn bò</t>
  </si>
  <si>
    <t xml:space="preserve">  - Đàn lợn</t>
  </si>
  <si>
    <t xml:space="preserve">  - Đàn dê</t>
  </si>
  <si>
    <t>b. Gia cầm</t>
  </si>
  <si>
    <t>1000 con</t>
  </si>
  <si>
    <t>c. Sản phẩm chăn nuôi</t>
  </si>
  <si>
    <t xml:space="preserve">  - Thịt hơi các loại</t>
  </si>
  <si>
    <t xml:space="preserve">  - Trứng các loại</t>
  </si>
  <si>
    <t>II. Lâm nghiệp</t>
  </si>
  <si>
    <t>1. Diện tích đất rừng các loại</t>
  </si>
  <si>
    <t>Trong đó: Đất Rừng phòng hộ</t>
  </si>
  <si>
    <t xml:space="preserve">                Đất Rừng đặc dụng</t>
  </si>
  <si>
    <t xml:space="preserve">                Đất Rừng sản xuất</t>
  </si>
  <si>
    <t>2. Diện tích rừng</t>
  </si>
  <si>
    <t>a. DT Rừng tự nhiên</t>
  </si>
  <si>
    <t>Trong đó: Rừng phòng hộ</t>
  </si>
  <si>
    <t xml:space="preserve">                Rừng đặc dụng</t>
  </si>
  <si>
    <t xml:space="preserve">                Rừng sản xuất</t>
  </si>
  <si>
    <t>b. DT Rừng trồng</t>
  </si>
  <si>
    <t>Diện tích trồng mới các năm</t>
  </si>
  <si>
    <t>Diện tích khai thác các năm</t>
  </si>
  <si>
    <t>c. Diện tích rừng bị cháy, bị chặt phá</t>
  </si>
  <si>
    <t>3. Quản lý, bảo vệ rừng</t>
  </si>
  <si>
    <t>4. Khoanh nuôi tái sinh</t>
  </si>
  <si>
    <t>5. Trồng cây phân tán</t>
  </si>
  <si>
    <t>cây</t>
  </si>
  <si>
    <t>6. Khai thác gỗ tròn (gỗ nguyên liệu)</t>
  </si>
  <si>
    <t>m3</t>
  </si>
  <si>
    <t xml:space="preserve">      Trong đó: Rừng trồng</t>
  </si>
  <si>
    <t xml:space="preserve">                      Rừng tự nhiên</t>
  </si>
  <si>
    <t>7. Tỷ lệ che phủ (tính cả cây cao su)</t>
  </si>
  <si>
    <t>Tỷ lệ che phủ rừng ()</t>
  </si>
  <si>
    <t>III. Thuỷ sản</t>
  </si>
  <si>
    <t xml:space="preserve"> 1. Tổng sản lượng thuỷ sản</t>
  </si>
  <si>
    <t xml:space="preserve"> - Trong đó: sản lượng nuôi trồng</t>
  </si>
  <si>
    <t xml:space="preserve">                   sản lượng khai thác </t>
  </si>
  <si>
    <t xml:space="preserve"> 2. Diện tích nuôi trồng thuỷ sản</t>
  </si>
  <si>
    <t>IV. Phát triển nông thôn</t>
  </si>
  <si>
    <t>1. Số tiêu chí nông thôn mới đạt bình quân/xã</t>
  </si>
  <si>
    <t>tiêu chí</t>
  </si>
  <si>
    <t>2. Số km đường GTNT theo CT nông thôn mới</t>
  </si>
  <si>
    <t>km</t>
  </si>
  <si>
    <t>3. Diện tích cây trồng có dùng nước tưới</t>
  </si>
  <si>
    <t xml:space="preserve">   Tỷ lệ đảm bảo nước tưới cho cây trồng</t>
  </si>
  <si>
    <t>4. Tỷ lệ hộ sử dụng nước sạch (bể lọc, giếng)</t>
  </si>
  <si>
    <r>
      <t>5. Tỷ lệ</t>
    </r>
    <r>
      <rPr>
        <b/>
        <sz val="10"/>
        <color indexed="10"/>
        <rFont val="Times New Roman"/>
        <family val="1"/>
      </rPr>
      <t xml:space="preserve"> hộ </t>
    </r>
    <r>
      <rPr>
        <sz val="10"/>
        <color indexed="10"/>
        <rFont val="Times New Roman"/>
        <family val="1"/>
      </rPr>
      <t>dân cư sử dụng nước sạch</t>
    </r>
  </si>
  <si>
    <r>
      <t xml:space="preserve"> Trong đó: </t>
    </r>
    <r>
      <rPr>
        <i/>
        <sz val="10"/>
        <color indexed="10"/>
        <rFont val="Times New Roman"/>
        <family val="1"/>
      </rPr>
      <t>Dân cư thị trấn</t>
    </r>
  </si>
  <si>
    <t xml:space="preserve">                Dân cư nông thôn</t>
  </si>
  <si>
    <t>6. Số hộ có công trình vệ sinh hợp vệ sinh</t>
  </si>
  <si>
    <t>hộ</t>
  </si>
  <si>
    <t>7 Số xã đạt chuẩn NTM</t>
  </si>
  <si>
    <t>8. Số km kênh mương đã được KCH bê tông</t>
  </si>
  <si>
    <t>9. Tỷ lệ kênh mương được KCH bê tông</t>
  </si>
  <si>
    <t xml:space="preserve"> - Thu thế, phí, lệ phí</t>
  </si>
  <si>
    <t xml:space="preserve"> - Thu biện pháp tài chính</t>
  </si>
  <si>
    <t>Tháng 7</t>
  </si>
  <si>
    <t>Tháng 8</t>
  </si>
  <si>
    <t>Tháng 9</t>
  </si>
  <si>
    <t>Tháng 10</t>
  </si>
  <si>
    <t>Tháng 11</t>
  </si>
  <si>
    <t>Tháng 12</t>
  </si>
  <si>
    <t>Chia theo tháng</t>
  </si>
  <si>
    <t>Phụ lục I</t>
  </si>
  <si>
    <t>ĐVT</t>
  </si>
  <si>
    <t>TH năm 2025</t>
  </si>
  <si>
    <t>Kế hoạch
 năm 2026</t>
  </si>
  <si>
    <t>Kịch bản tăng trưởng năm 2026</t>
  </si>
  <si>
    <t>Đơn vị chủ trì theo dõi, đánh giá</t>
  </si>
  <si>
    <t xml:space="preserve">Thực hiện Quý I </t>
  </si>
  <si>
    <t>Phòng Kinh tế phối hợp
 Thống kê cơ sở</t>
  </si>
  <si>
    <t>- Nông lâm, ngư nghiệp</t>
  </si>
  <si>
    <t>- Công nghiệp - Xây dựng</t>
  </si>
  <si>
    <t>Trong đó: + Công nghiệp</t>
  </si>
  <si>
    <t xml:space="preserve">                   + Xây dựng </t>
  </si>
  <si>
    <t>- Thương mại - Dịch vụ</t>
  </si>
  <si>
    <t>* Tổng sản phẩm trên địa bàn (GRDP - giá hiện hành)</t>
  </si>
  <si>
    <t>Phòng Kinh tế 
phối hợp
 Thống kê cơ sở</t>
  </si>
  <si>
    <t>- Nông, lâm nghiệp và ngư nghiệp</t>
  </si>
  <si>
    <t>- Công nghiệp và xây dựng</t>
  </si>
  <si>
    <t xml:space="preserve">                 + Xây dựng</t>
  </si>
  <si>
    <t>- Dịch vụ</t>
  </si>
  <si>
    <t>* Cơ cấu GRDP</t>
  </si>
  <si>
    <t>- Nông lâm, thủy sản</t>
  </si>
  <si>
    <t>GRDP bình quân đầu người (Giá hiện hành)</t>
  </si>
  <si>
    <t>Tr. đồng</t>
  </si>
  <si>
    <t>Phòng Kinh tế phối hợp
 thống kê cơ sở</t>
  </si>
  <si>
    <t>- Thu nhập BQĐN</t>
  </si>
  <si>
    <t>- Tổng số nhân khẩu</t>
  </si>
  <si>
    <t>người</t>
  </si>
  <si>
    <t>Phát triển hộ kinh doanh, hợp tác xã</t>
  </si>
  <si>
    <t>Phòng Kinh tế
 phối hợp
 thống kê cơ sở, HTX</t>
  </si>
  <si>
    <t>- Số hộ kinh doanh đang tồn tại, hoạt động</t>
  </si>
  <si>
    <t>HKD</t>
  </si>
  <si>
    <t>- Các doanh nghiệp, công ty</t>
  </si>
  <si>
    <t>- Số HTX, Liên hiệp HTX còn hoạt động</t>
  </si>
  <si>
    <t>HTX</t>
  </si>
  <si>
    <t xml:space="preserve">Tổng thu ngân sách nhà nước </t>
  </si>
  <si>
    <t>Phòng Kinh tế
 phối hợp
 Thuế cơ sở</t>
  </si>
  <si>
    <t>+ Thu thuế, phí</t>
  </si>
  <si>
    <t>+ Thu tiền sử dụng đất</t>
  </si>
  <si>
    <t>Phòng Văn hóa
 - Xã hội</t>
  </si>
  <si>
    <t xml:space="preserve">Thực hiện 6 tháng </t>
  </si>
  <si>
    <t xml:space="preserve">Thực hiện Quý II </t>
  </si>
  <si>
    <t>Thực hiện Quý III</t>
  </si>
  <si>
    <t>Thực hiện 9 tháng</t>
  </si>
  <si>
    <t xml:space="preserve">Thực hiện Quý IV </t>
  </si>
  <si>
    <t xml:space="preserve">Thực hiện năm 2026 </t>
  </si>
  <si>
    <t>Phụ lục II</t>
  </si>
  <si>
    <t xml:space="preserve">Tổng chi ngân sách nhà nước </t>
  </si>
  <si>
    <t xml:space="preserve"> - Chi thường xuyên</t>
  </si>
  <si>
    <t>Các đơn vị dự toán thuộc UBND xã</t>
  </si>
  <si>
    <t>Ban QL các CTMTQG xã, Phòng Kinh tế</t>
  </si>
  <si>
    <t>(Kèm theo Kế hoạch số:        /KH-UBND ngày       /7/2026 của UBND xã Cư Yang)</t>
  </si>
  <si>
    <t>(Kèm theo Kế hoạch số:               /KH-UBND ngày           /7/2026 của UBND xã Cư Yang)</t>
  </si>
  <si>
    <t>Tổng sản phẩm trên địa bàn (GRDP - Giá so sánh năm 2010)</t>
  </si>
  <si>
    <t>Các dự án thu hút đầu tư ngoài ngân sách</t>
  </si>
  <si>
    <t>Công trình, dự án hoàn thành</t>
  </si>
  <si>
    <t>CT, DA</t>
  </si>
  <si>
    <t>Các dự án thu hút đầu tư ngoài ngân sách, huy động xã hội</t>
  </si>
  <si>
    <t>Phòng kinh tế, phòng VH-XH</t>
  </si>
  <si>
    <t>KỊCH BẢN ĐIỀU HÀNH CÁC CHỈ TIÊU TĂNG TRƯỞNG KINH TẾ NĂM 2026</t>
  </si>
  <si>
    <t>KỊCH BẢN ĐIỀU HÀNH CÁC CHỈ TIÊU TĂNG TRƯỞNG THEO THÁNG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</si>
</sst>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9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\ _₫_-;\-* #,##0.00\ _₫_-;_-* &quot;-&quot;??\ _₫_-;_-@_-"/>
    <numFmt numFmtId="167" formatCode="_-&quot;£&quot;* #,##0.00_-;\-&quot;£&quot;* #,##0.00_-;_-&quot;£&quot;* &quot;-&quot;??_-;_-@_-"/>
    <numFmt numFmtId="168" formatCode="_-&quot;$&quot;* #,##0_-;\-&quot;$&quot;* #,##0_-;_-&quot;$&quot;* &quot;-&quot;_-;_-@_-"/>
    <numFmt numFmtId="169" formatCode="_-&quot;$&quot;* #,##0.00_-;\-&quot;$&quot;* #,##0.00_-;_-&quot;$&quot;* &quot;-&quot;??_-;_-@_-"/>
    <numFmt numFmtId="170" formatCode="#,##0.0"/>
    <numFmt numFmtId="171" formatCode="0.000000000"/>
    <numFmt numFmtId="172" formatCode="0.00000"/>
    <numFmt numFmtId="173" formatCode="_(* #,##0_);_(* \(#,##0\);_(* &quot;-&quot;??_);_(@_)"/>
    <numFmt numFmtId="174" formatCode="_(* #,##0.00000000_);_(* \(#,##0.00000000\);_(* &quot;-&quot;??_);_(@_)"/>
    <numFmt numFmtId="175" formatCode="_(* #,##0.000000_);_(* \(#,##0.000000\);_(* &quot;-&quot;_);_(@_)"/>
    <numFmt numFmtId="176" formatCode="0.00_)"/>
    <numFmt numFmtId="177" formatCode="#,##0.000"/>
    <numFmt numFmtId="178" formatCode="#,##0\ &quot;đồng&quot;"/>
    <numFmt numFmtId="179" formatCode="0.0\ &quot;%KH&quot;"/>
    <numFmt numFmtId="180" formatCode="#,##0\ &quot;triệu đồng&quot;"/>
    <numFmt numFmtId="181" formatCode="#,###"/>
    <numFmt numFmtId="182" formatCode="_ * #,##0.00_)_V_N_D_ ;_ * \(#,##0.00\)_V_N_D_ ;_ * &quot;-&quot;??_)_V_N_D_ ;_ @_ "/>
    <numFmt numFmtId="183" formatCode="_-* #,##0\ &quot;$&quot;_-;_-* #,##0\ &quot;$&quot;\-;_-* &quot;-&quot;\ &quot;$&quot;_-;_-@_-"/>
    <numFmt numFmtId="184" formatCode="_ * #,##0_)_V_N_D_ ;_ * \(#,##0\)_V_N_D_ ;_ * &quot;-&quot;_)_V_N_D_ ;_ @_ "/>
    <numFmt numFmtId="185" formatCode="_-&quot;\&quot;* #,##0.00_-;\-&quot;\&quot;* #,##0.00_-;_-&quot;\&quot;* &quot;-&quot;??_-;_-@_-"/>
    <numFmt numFmtId="186" formatCode="_ * #,##0_ ;_ * \-#,##0_ ;_ * &quot;-&quot;_ ;_ @_ "/>
    <numFmt numFmtId="187" formatCode="_ * #,##0.00_ ;_ * \-#,##0.00_ ;_ * &quot;-&quot;??_ ;_ @_ "/>
    <numFmt numFmtId="188" formatCode="&quot;\&quot;#,##0;[Red]\-&quot;\&quot;#,##0"/>
    <numFmt numFmtId="189" formatCode="&quot;\&quot;#,##0.00;\-&quot;\&quot;#,##0.00"/>
    <numFmt numFmtId="190" formatCode="&quot;\&quot;#,##0.00;[Red]&quot;\&quot;&quot;\&quot;&quot;\&quot;&quot;\&quot;&quot;\&quot;&quot;\&quot;\-#,##0.00"/>
    <numFmt numFmtId="191" formatCode="&quot;\&quot;#,##0;[Red]&quot;\&quot;&quot;\&quot;\-#,##0"/>
    <numFmt numFmtId="192" formatCode="0.0"/>
    <numFmt numFmtId="193" formatCode="#,##0;[Red]#,##0"/>
    <numFmt numFmtId="194" formatCode="_-* #,##0_-;\-* #,##0_-;_-* &quot;-&quot;??_-;_-@_-"/>
    <numFmt numFmtId="195" formatCode="_-* #,##0.0_-;\-* #,##0.0_-;_-* &quot;-&quot;??_-;_-@_-"/>
    <numFmt numFmtId="196" formatCode="#,##0.0;[Red]#,##0.0"/>
    <numFmt numFmtId="197" formatCode="_(* #,##0.0_);_(* \(#,##0.0\);_(* &quot;-&quot;??_);_(@_)"/>
    <numFmt numFmtId="198" formatCode="#,##0.0_);\(#,##0.0\)"/>
  </numFmts>
  <fonts count="110">
    <font>
      <sz val="14"/>
      <name val=".VnTime"/>
    </font>
    <font>
      <sz val="11"/>
      <color theme="1"/>
      <name val="Calibri"/>
      <family val="2"/>
      <scheme val="minor"/>
    </font>
    <font>
      <sz val="14"/>
      <name val=".VnTime"/>
      <family val="2"/>
    </font>
    <font>
      <sz val="14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2"/>
      <name val=".VnTime"/>
      <family val="2"/>
    </font>
    <font>
      <sz val="10"/>
      <name val="Arial"/>
      <family val="2"/>
    </font>
    <font>
      <sz val="12"/>
      <name val="¹UAAA¼"/>
      <family val="3"/>
      <charset val="129"/>
    </font>
    <font>
      <sz val="10"/>
      <name val="Arial"/>
      <family val="2"/>
    </font>
    <font>
      <sz val="12"/>
      <name val=".VnTime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9"/>
      <name val="Arial"/>
      <family val="2"/>
    </font>
    <font>
      <sz val="10"/>
      <name val="굴림체"/>
      <family val="3"/>
      <charset val="129"/>
    </font>
    <font>
      <sz val="12"/>
      <name val="Courier"/>
      <family val="3"/>
    </font>
    <font>
      <sz val="10"/>
      <name val=" "/>
      <family val="1"/>
      <charset val="136"/>
    </font>
    <font>
      <b/>
      <sz val="12"/>
      <name val=".VnTime"/>
      <family val="2"/>
    </font>
    <font>
      <b/>
      <sz val="10"/>
      <name val=".VnTime"/>
      <family val="2"/>
    </font>
    <font>
      <sz val="10"/>
      <name val="VNI-Times"/>
    </font>
    <font>
      <b/>
      <sz val="14"/>
      <name val=".VnTimeH"/>
      <family val="2"/>
    </font>
    <font>
      <sz val="10"/>
      <name val=".VnAvant"/>
      <family val="2"/>
    </font>
    <font>
      <sz val="11"/>
      <name val="Times New Roman"/>
      <family val="1"/>
    </font>
    <font>
      <sz val="10"/>
      <name val="??"/>
      <family val="3"/>
      <charset val="129"/>
    </font>
    <font>
      <sz val="8"/>
      <name val=".VnTime"/>
      <family val="2"/>
    </font>
    <font>
      <sz val="10"/>
      <name val="Helv"/>
      <family val="2"/>
    </font>
    <font>
      <b/>
      <sz val="13"/>
      <name val="Times New Roman"/>
      <family val="1"/>
    </font>
    <font>
      <sz val="14"/>
      <name val=".VnTime"/>
      <family val="2"/>
    </font>
    <font>
      <sz val="12"/>
      <color indexed="8"/>
      <name val="Times New Roman"/>
      <family val="2"/>
      <charset val="163"/>
    </font>
    <font>
      <sz val="12"/>
      <color indexed="9"/>
      <name val="Times New Roman"/>
      <family val="2"/>
      <charset val="163"/>
    </font>
    <font>
      <sz val="12"/>
      <color indexed="20"/>
      <name val="Times New Roman"/>
      <family val="2"/>
      <charset val="163"/>
    </font>
    <font>
      <b/>
      <sz val="12"/>
      <color indexed="52"/>
      <name val="Times New Roman"/>
      <family val="2"/>
      <charset val="163"/>
    </font>
    <font>
      <b/>
      <sz val="12"/>
      <color indexed="9"/>
      <name val="Times New Roman"/>
      <family val="2"/>
      <charset val="163"/>
    </font>
    <font>
      <i/>
      <sz val="12"/>
      <color indexed="23"/>
      <name val="Times New Roman"/>
      <family val="2"/>
      <charset val="163"/>
    </font>
    <font>
      <sz val="12"/>
      <color indexed="17"/>
      <name val="Times New Roman"/>
      <family val="2"/>
      <charset val="163"/>
    </font>
    <font>
      <b/>
      <sz val="11"/>
      <color indexed="62"/>
      <name val="Times New Roman"/>
      <family val="2"/>
      <charset val="163"/>
    </font>
    <font>
      <sz val="12"/>
      <color indexed="62"/>
      <name val="Times New Roman"/>
      <family val="2"/>
      <charset val="163"/>
    </font>
    <font>
      <sz val="12"/>
      <color indexed="52"/>
      <name val="Times New Roman"/>
      <family val="2"/>
      <charset val="163"/>
    </font>
    <font>
      <sz val="12"/>
      <color indexed="60"/>
      <name val="Times New Roman"/>
      <family val="2"/>
      <charset val="163"/>
    </font>
    <font>
      <b/>
      <sz val="12"/>
      <color indexed="63"/>
      <name val="Times New Roman"/>
      <family val="2"/>
      <charset val="163"/>
    </font>
    <font>
      <b/>
      <sz val="18"/>
      <color indexed="62"/>
      <name val="Cambria"/>
      <family val="2"/>
      <charset val="163"/>
    </font>
    <font>
      <sz val="12"/>
      <color indexed="10"/>
      <name val="Times New Roman"/>
      <family val="2"/>
      <charset val="163"/>
    </font>
    <font>
      <sz val="12"/>
      <name val="VNI-Times"/>
    </font>
    <font>
      <sz val="11"/>
      <name val="µ¸¿ò"/>
      <charset val="129"/>
    </font>
    <font>
      <sz val="12"/>
      <name val="¹ÙÅÁÃ¼"/>
      <charset val="129"/>
    </font>
    <font>
      <b/>
      <sz val="10"/>
      <name val="Helv"/>
    </font>
    <font>
      <sz val="8"/>
      <name val="Arial"/>
      <family val="2"/>
    </font>
    <font>
      <b/>
      <sz val="12"/>
      <name val="Helv"/>
    </font>
    <font>
      <b/>
      <sz val="11"/>
      <name val="Helv"/>
    </font>
    <font>
      <sz val="10"/>
      <name val="MS Sans Serif"/>
      <family val="2"/>
    </font>
    <font>
      <sz val="12"/>
      <name val="新細明體"/>
      <charset val="136"/>
    </font>
    <font>
      <sz val="14"/>
      <name val="??"/>
      <family val="3"/>
      <charset val="129"/>
    </font>
    <font>
      <sz val="10"/>
      <name val="???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4"/>
      <name val=".VnTime"/>
      <family val="2"/>
    </font>
    <font>
      <sz val="12"/>
      <name val=".VnTime"/>
      <family val="2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0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1"/>
      <color theme="1"/>
      <name val="Times New Roman"/>
      <family val="1"/>
    </font>
    <font>
      <sz val="11"/>
      <color indexed="10"/>
      <name val="Times New Roman"/>
      <family val="1"/>
    </font>
    <font>
      <sz val="10"/>
      <color theme="1"/>
      <name val="Times New Roman"/>
      <family val="1"/>
    </font>
    <font>
      <b/>
      <sz val="11"/>
      <color indexed="10"/>
      <name val="Times New Roman"/>
      <family val="1"/>
    </font>
    <font>
      <vertAlign val="superscript"/>
      <sz val="8"/>
      <name val="Times New Roman"/>
      <family val="1"/>
    </font>
    <font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b/>
      <sz val="10"/>
      <color indexed="10"/>
      <name val="Times New Roman"/>
      <family val="1"/>
    </font>
    <font>
      <i/>
      <sz val="10"/>
      <name val="Times New Roman"/>
      <family val="1"/>
    </font>
    <font>
      <sz val="10"/>
      <color indexed="8"/>
      <name val="Times New Roman"/>
      <family val="1"/>
    </font>
    <font>
      <b/>
      <i/>
      <sz val="10"/>
      <name val="Times New Roman"/>
      <family val="1"/>
    </font>
    <font>
      <b/>
      <i/>
      <sz val="10"/>
      <color indexed="8"/>
      <name val="Times New Roman"/>
      <family val="1"/>
    </font>
    <font>
      <sz val="14"/>
      <color indexed="10"/>
      <name val="Times New Roman"/>
      <family val="1"/>
    </font>
    <font>
      <i/>
      <sz val="10"/>
      <color indexed="10"/>
      <name val="Times New Roman"/>
      <family val="1"/>
    </font>
    <font>
      <sz val="14"/>
      <name val=".VnTime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i/>
      <sz val="10"/>
      <color theme="1"/>
      <name val="Times New Roman"/>
      <family val="1"/>
    </font>
    <font>
      <sz val="8"/>
      <name val=".VnTime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gray125">
        <fgColor indexed="35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58">
    <xf numFmtId="0" fontId="0" fillId="0" borderId="0"/>
    <xf numFmtId="179" fontId="6" fillId="0" borderId="0"/>
    <xf numFmtId="190" fontId="8" fillId="0" borderId="0" applyFont="0" applyFill="0" applyBorder="0" applyAlignment="0" applyProtection="0"/>
    <xf numFmtId="0" fontId="57" fillId="0" borderId="0" applyFont="0" applyFill="0" applyBorder="0" applyAlignment="0" applyProtection="0"/>
    <xf numFmtId="191" fontId="8" fillId="0" borderId="0" applyFont="0" applyFill="0" applyBorder="0" applyAlignment="0" applyProtection="0"/>
    <xf numFmtId="40" fontId="57" fillId="0" borderId="0" applyFont="0" applyFill="0" applyBorder="0" applyAlignment="0" applyProtection="0"/>
    <xf numFmtId="38" fontId="57" fillId="0" borderId="0" applyFont="0" applyFill="0" applyBorder="0" applyAlignment="0" applyProtection="0"/>
    <xf numFmtId="10" fontId="8" fillId="0" borderId="0" applyFont="0" applyFill="0" applyBorder="0" applyAlignment="0" applyProtection="0"/>
    <xf numFmtId="0" fontId="58" fillId="0" borderId="0"/>
    <xf numFmtId="0" fontId="8" fillId="0" borderId="0"/>
    <xf numFmtId="42" fontId="25" fillId="0" borderId="0" applyFont="0" applyFill="0" applyBorder="0" applyAlignment="0" applyProtection="0"/>
    <xf numFmtId="168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82" fontId="25" fillId="0" borderId="0" applyFont="0" applyFill="0" applyBorder="0" applyAlignment="0" applyProtection="0"/>
    <xf numFmtId="164" fontId="48" fillId="0" borderId="0" applyFont="0" applyFill="0" applyBorder="0" applyAlignment="0" applyProtection="0"/>
    <xf numFmtId="42" fontId="25" fillId="0" borderId="0" applyFont="0" applyFill="0" applyBorder="0" applyAlignment="0" applyProtection="0"/>
    <xf numFmtId="183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165" fontId="48" fillId="0" borderId="0" applyFont="0" applyFill="0" applyBorder="0" applyAlignment="0" applyProtection="0"/>
    <xf numFmtId="184" fontId="25" fillId="0" borderId="0" applyFont="0" applyFill="0" applyBorder="0" applyAlignment="0" applyProtection="0"/>
    <xf numFmtId="183" fontId="25" fillId="0" borderId="0" applyFont="0" applyFill="0" applyBorder="0" applyAlignment="0" applyProtection="0"/>
    <xf numFmtId="164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84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164" fontId="48" fillId="0" borderId="0" applyFont="0" applyFill="0" applyBorder="0" applyAlignment="0" applyProtection="0"/>
    <xf numFmtId="168" fontId="48" fillId="0" borderId="0" applyFont="0" applyFill="0" applyBorder="0" applyAlignment="0" applyProtection="0"/>
    <xf numFmtId="183" fontId="25" fillId="0" borderId="0" applyFont="0" applyFill="0" applyBorder="0" applyAlignment="0" applyProtection="0"/>
    <xf numFmtId="164" fontId="48" fillId="0" borderId="0" applyFont="0" applyFill="0" applyBorder="0" applyAlignment="0" applyProtection="0"/>
    <xf numFmtId="184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168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0" fontId="34" fillId="2" borderId="0" applyNumberFormat="0" applyBorder="0" applyAlignment="0" applyProtection="0"/>
    <xf numFmtId="0" fontId="59" fillId="3" borderId="0" applyNumberFormat="0" applyBorder="0" applyAlignment="0" applyProtection="0"/>
    <xf numFmtId="0" fontId="34" fillId="4" borderId="0" applyNumberFormat="0" applyBorder="0" applyAlignment="0" applyProtection="0"/>
    <xf numFmtId="0" fontId="59" fillId="5" borderId="0" applyNumberFormat="0" applyBorder="0" applyAlignment="0" applyProtection="0"/>
    <xf numFmtId="0" fontId="34" fillId="6" borderId="0" applyNumberFormat="0" applyBorder="0" applyAlignment="0" applyProtection="0"/>
    <xf numFmtId="0" fontId="59" fillId="7" borderId="0" applyNumberFormat="0" applyBorder="0" applyAlignment="0" applyProtection="0"/>
    <xf numFmtId="0" fontId="34" fillId="2" borderId="0" applyNumberFormat="0" applyBorder="0" applyAlignment="0" applyProtection="0"/>
    <xf numFmtId="0" fontId="59" fillId="8" borderId="0" applyNumberFormat="0" applyBorder="0" applyAlignment="0" applyProtection="0"/>
    <xf numFmtId="0" fontId="34" fillId="9" borderId="0" applyNumberFormat="0" applyBorder="0" applyAlignment="0" applyProtection="0"/>
    <xf numFmtId="0" fontId="59" fillId="9" borderId="0" applyNumberFormat="0" applyBorder="0" applyAlignment="0" applyProtection="0"/>
    <xf numFmtId="0" fontId="34" fillId="6" borderId="0" applyNumberFormat="0" applyBorder="0" applyAlignment="0" applyProtection="0"/>
    <xf numFmtId="0" fontId="59" fillId="2" borderId="0" applyNumberFormat="0" applyBorder="0" applyAlignment="0" applyProtection="0"/>
    <xf numFmtId="0" fontId="34" fillId="10" borderId="0" applyNumberFormat="0" applyBorder="0" applyAlignment="0" applyProtection="0"/>
    <xf numFmtId="0" fontId="59" fillId="11" borderId="0" applyNumberFormat="0" applyBorder="0" applyAlignment="0" applyProtection="0"/>
    <xf numFmtId="0" fontId="34" fillId="4" borderId="0" applyNumberFormat="0" applyBorder="0" applyAlignment="0" applyProtection="0"/>
    <xf numFmtId="0" fontId="59" fillId="4" borderId="0" applyNumberFormat="0" applyBorder="0" applyAlignment="0" applyProtection="0"/>
    <xf numFmtId="0" fontId="34" fillId="12" borderId="0" applyNumberFormat="0" applyBorder="0" applyAlignment="0" applyProtection="0"/>
    <xf numFmtId="0" fontId="59" fillId="13" borderId="0" applyNumberFormat="0" applyBorder="0" applyAlignment="0" applyProtection="0"/>
    <xf numFmtId="0" fontId="34" fillId="10" borderId="0" applyNumberFormat="0" applyBorder="0" applyAlignment="0" applyProtection="0"/>
    <xf numFmtId="0" fontId="59" fillId="8" borderId="0" applyNumberFormat="0" applyBorder="0" applyAlignment="0" applyProtection="0"/>
    <xf numFmtId="0" fontId="34" fillId="11" borderId="0" applyNumberFormat="0" applyBorder="0" applyAlignment="0" applyProtection="0"/>
    <xf numFmtId="0" fontId="59" fillId="11" borderId="0" applyNumberFormat="0" applyBorder="0" applyAlignment="0" applyProtection="0"/>
    <xf numFmtId="0" fontId="34" fillId="12" borderId="0" applyNumberFormat="0" applyBorder="0" applyAlignment="0" applyProtection="0"/>
    <xf numFmtId="0" fontId="59" fillId="14" borderId="0" applyNumberFormat="0" applyBorder="0" applyAlignment="0" applyProtection="0"/>
    <xf numFmtId="0" fontId="35" fillId="15" borderId="0" applyNumberFormat="0" applyBorder="0" applyAlignment="0" applyProtection="0"/>
    <xf numFmtId="0" fontId="60" fillId="16" borderId="0" applyNumberFormat="0" applyBorder="0" applyAlignment="0" applyProtection="0"/>
    <xf numFmtId="0" fontId="35" fillId="4" borderId="0" applyNumberFormat="0" applyBorder="0" applyAlignment="0" applyProtection="0"/>
    <xf numFmtId="0" fontId="60" fillId="4" borderId="0" applyNumberFormat="0" applyBorder="0" applyAlignment="0" applyProtection="0"/>
    <xf numFmtId="0" fontId="35" fillId="12" borderId="0" applyNumberFormat="0" applyBorder="0" applyAlignment="0" applyProtection="0"/>
    <xf numFmtId="0" fontId="60" fillId="13" borderId="0" applyNumberFormat="0" applyBorder="0" applyAlignment="0" applyProtection="0"/>
    <xf numFmtId="0" fontId="35" fillId="10" borderId="0" applyNumberFormat="0" applyBorder="0" applyAlignment="0" applyProtection="0"/>
    <xf numFmtId="0" fontId="60" fillId="17" borderId="0" applyNumberFormat="0" applyBorder="0" applyAlignment="0" applyProtection="0"/>
    <xf numFmtId="0" fontId="35" fillId="15" borderId="0" applyNumberFormat="0" applyBorder="0" applyAlignment="0" applyProtection="0"/>
    <xf numFmtId="0" fontId="60" fillId="15" borderId="0" applyNumberFormat="0" applyBorder="0" applyAlignment="0" applyProtection="0"/>
    <xf numFmtId="0" fontId="35" fillId="4" borderId="0" applyNumberFormat="0" applyBorder="0" applyAlignment="0" applyProtection="0"/>
    <xf numFmtId="0" fontId="60" fillId="18" borderId="0" applyNumberFormat="0" applyBorder="0" applyAlignment="0" applyProtection="0"/>
    <xf numFmtId="0" fontId="35" fillId="15" borderId="0" applyNumberFormat="0" applyBorder="0" applyAlignment="0" applyProtection="0"/>
    <xf numFmtId="0" fontId="60" fillId="19" borderId="0" applyNumberFormat="0" applyBorder="0" applyAlignment="0" applyProtection="0"/>
    <xf numFmtId="0" fontId="35" fillId="20" borderId="0" applyNumberFormat="0" applyBorder="0" applyAlignment="0" applyProtection="0"/>
    <xf numFmtId="0" fontId="60" fillId="20" borderId="0" applyNumberFormat="0" applyBorder="0" applyAlignment="0" applyProtection="0"/>
    <xf numFmtId="0" fontId="35" fillId="21" borderId="0" applyNumberFormat="0" applyBorder="0" applyAlignment="0" applyProtection="0"/>
    <xf numFmtId="0" fontId="60" fillId="21" borderId="0" applyNumberFormat="0" applyBorder="0" applyAlignment="0" applyProtection="0"/>
    <xf numFmtId="0" fontId="35" fillId="22" borderId="0" applyNumberFormat="0" applyBorder="0" applyAlignment="0" applyProtection="0"/>
    <xf numFmtId="0" fontId="60" fillId="17" borderId="0" applyNumberFormat="0" applyBorder="0" applyAlignment="0" applyProtection="0"/>
    <xf numFmtId="0" fontId="35" fillId="15" borderId="0" applyNumberFormat="0" applyBorder="0" applyAlignment="0" applyProtection="0"/>
    <xf numFmtId="0" fontId="60" fillId="15" borderId="0" applyNumberFormat="0" applyBorder="0" applyAlignment="0" applyProtection="0"/>
    <xf numFmtId="0" fontId="35" fillId="23" borderId="0" applyNumberFormat="0" applyBorder="0" applyAlignment="0" applyProtection="0"/>
    <xf numFmtId="0" fontId="60" fillId="23" borderId="0" applyNumberFormat="0" applyBorder="0" applyAlignment="0" applyProtection="0"/>
    <xf numFmtId="0" fontId="9" fillId="0" borderId="0" applyFont="0" applyFill="0" applyBorder="0" applyAlignment="0" applyProtection="0"/>
    <xf numFmtId="185" fontId="49" fillId="0" borderId="0" applyFont="0" applyFill="0" applyBorder="0" applyAlignment="0" applyProtection="0"/>
    <xf numFmtId="0" fontId="9" fillId="0" borderId="0" applyFont="0" applyFill="0" applyBorder="0" applyAlignment="0" applyProtection="0"/>
    <xf numFmtId="186" fontId="50" fillId="0" borderId="0" applyFont="0" applyFill="0" applyBorder="0" applyAlignment="0" applyProtection="0"/>
    <xf numFmtId="0" fontId="9" fillId="0" borderId="0" applyFont="0" applyFill="0" applyBorder="0" applyAlignment="0" applyProtection="0"/>
    <xf numFmtId="187" fontId="50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48" fillId="0" borderId="0" applyFont="0" applyFill="0" applyBorder="0" applyAlignment="0" applyProtection="0"/>
    <xf numFmtId="0" fontId="36" fillId="5" borderId="0" applyNumberFormat="0" applyBorder="0" applyAlignment="0" applyProtection="0"/>
    <xf numFmtId="0" fontId="61" fillId="5" borderId="0" applyNumberFormat="0" applyBorder="0" applyAlignment="0" applyProtection="0"/>
    <xf numFmtId="0" fontId="9" fillId="0" borderId="0"/>
    <xf numFmtId="0" fontId="6" fillId="0" borderId="0"/>
    <xf numFmtId="0" fontId="9" fillId="0" borderId="0"/>
    <xf numFmtId="0" fontId="37" fillId="24" borderId="1" applyNumberFormat="0" applyAlignment="0" applyProtection="0"/>
    <xf numFmtId="0" fontId="62" fillId="10" borderId="1" applyNumberFormat="0" applyAlignment="0" applyProtection="0"/>
    <xf numFmtId="0" fontId="51" fillId="0" borderId="0"/>
    <xf numFmtId="165" fontId="3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2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38" fillId="25" borderId="2" applyNumberFormat="0" applyAlignment="0" applyProtection="0"/>
    <xf numFmtId="0" fontId="63" fillId="25" borderId="2" applyNumberFormat="0" applyAlignment="0" applyProtection="0"/>
    <xf numFmtId="0" fontId="8" fillId="0" borderId="0" applyFont="0" applyFill="0" applyBorder="0" applyAlignment="0" applyProtection="0"/>
    <xf numFmtId="178" fontId="6" fillId="0" borderId="0"/>
    <xf numFmtId="0" fontId="39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0" fillId="7" borderId="0" applyNumberFormat="0" applyBorder="0" applyAlignment="0" applyProtection="0"/>
    <xf numFmtId="0" fontId="65" fillId="7" borderId="0" applyNumberFormat="0" applyBorder="0" applyAlignment="0" applyProtection="0"/>
    <xf numFmtId="38" fontId="52" fillId="26" borderId="0" applyNumberFormat="0" applyBorder="0" applyAlignment="0" applyProtection="0"/>
    <xf numFmtId="0" fontId="53" fillId="0" borderId="0">
      <alignment horizontal="left"/>
    </xf>
    <xf numFmtId="0" fontId="12" fillId="0" borderId="3" applyNumberFormat="0" applyAlignment="0" applyProtection="0">
      <alignment horizontal="left" vertical="center"/>
    </xf>
    <xf numFmtId="0" fontId="12" fillId="0" borderId="4">
      <alignment horizontal="left" vertical="center"/>
    </xf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1" fillId="0" borderId="5" applyNumberFormat="0" applyFill="0" applyAlignment="0" applyProtection="0"/>
    <xf numFmtId="0" fontId="66" fillId="0" borderId="6" applyNumberFormat="0" applyFill="0" applyAlignment="0" applyProtection="0"/>
    <xf numFmtId="0" fontId="41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49" fontId="26" fillId="0" borderId="7">
      <alignment vertical="center"/>
    </xf>
    <xf numFmtId="0" fontId="42" fillId="12" borderId="1" applyNumberFormat="0" applyAlignment="0" applyProtection="0"/>
    <xf numFmtId="10" fontId="52" fillId="26" borderId="7" applyNumberFormat="0" applyBorder="0" applyAlignment="0" applyProtection="0"/>
    <xf numFmtId="0" fontId="67" fillId="2" borderId="1" applyNumberFormat="0" applyAlignment="0" applyProtection="0"/>
    <xf numFmtId="0" fontId="67" fillId="2" borderId="1" applyNumberFormat="0" applyAlignment="0" applyProtection="0"/>
    <xf numFmtId="0" fontId="67" fillId="2" borderId="1" applyNumberFormat="0" applyAlignment="0" applyProtection="0"/>
    <xf numFmtId="0" fontId="67" fillId="2" borderId="1" applyNumberFormat="0" applyAlignment="0" applyProtection="0"/>
    <xf numFmtId="0" fontId="43" fillId="0" borderId="8" applyNumberFormat="0" applyFill="0" applyAlignment="0" applyProtection="0"/>
    <xf numFmtId="0" fontId="68" fillId="0" borderId="8" applyNumberFormat="0" applyFill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54" fillId="0" borderId="9"/>
    <xf numFmtId="181" fontId="27" fillId="0" borderId="10"/>
    <xf numFmtId="188" fontId="10" fillId="0" borderId="0" applyFont="0" applyFill="0" applyBorder="0" applyAlignment="0" applyProtection="0"/>
    <xf numFmtId="189" fontId="10" fillId="0" borderId="0" applyFont="0" applyFill="0" applyBorder="0" applyAlignment="0" applyProtection="0"/>
    <xf numFmtId="0" fontId="14" fillId="0" borderId="0" applyNumberFormat="0" applyFont="0" applyFill="0" applyAlignment="0"/>
    <xf numFmtId="0" fontId="44" fillId="12" borderId="0" applyNumberFormat="0" applyBorder="0" applyAlignment="0" applyProtection="0"/>
    <xf numFmtId="0" fontId="69" fillId="12" borderId="0" applyNumberFormat="0" applyBorder="0" applyAlignment="0" applyProtection="0"/>
    <xf numFmtId="176" fontId="15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/>
    <xf numFmtId="0" fontId="33" fillId="0" borderId="0"/>
    <xf numFmtId="0" fontId="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6" borderId="11" applyNumberFormat="0" applyFont="0" applyAlignment="0" applyProtection="0"/>
    <xf numFmtId="0" fontId="33" fillId="6" borderId="11" applyNumberFormat="0" applyFont="0" applyAlignment="0" applyProtection="0"/>
    <xf numFmtId="0" fontId="2" fillId="6" borderId="11" applyNumberFormat="0" applyFont="0" applyAlignment="0" applyProtection="0"/>
    <xf numFmtId="0" fontId="8" fillId="6" borderId="11" applyNumberFormat="0" applyFont="0" applyAlignment="0" applyProtection="0"/>
    <xf numFmtId="0" fontId="45" fillId="24" borderId="12" applyNumberFormat="0" applyAlignment="0" applyProtection="0"/>
    <xf numFmtId="0" fontId="70" fillId="10" borderId="12" applyNumberFormat="0" applyAlignment="0" applyProtection="0"/>
    <xf numFmtId="10" fontId="10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55" fillId="0" borderId="13" applyNumberFormat="0" applyBorder="0"/>
    <xf numFmtId="42" fontId="25" fillId="0" borderId="0" applyFont="0" applyFill="0" applyBorder="0" applyAlignment="0" applyProtection="0"/>
    <xf numFmtId="0" fontId="31" fillId="0" borderId="0"/>
    <xf numFmtId="184" fontId="25" fillId="0" borderId="0" applyFont="0" applyFill="0" applyBorder="0" applyAlignment="0" applyProtection="0"/>
    <xf numFmtId="0" fontId="54" fillId="0" borderId="0"/>
    <xf numFmtId="0" fontId="46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8" fillId="0" borderId="14" applyNumberFormat="0" applyFont="0" applyFill="0" applyAlignment="0" applyProtection="0"/>
    <xf numFmtId="180" fontId="6" fillId="0" borderId="0"/>
    <xf numFmtId="5" fontId="72" fillId="0" borderId="15">
      <alignment horizontal="left" vertical="top"/>
    </xf>
    <xf numFmtId="0" fontId="73" fillId="0" borderId="15">
      <alignment horizontal="left" vertical="center"/>
    </xf>
    <xf numFmtId="0" fontId="23" fillId="27" borderId="7">
      <alignment horizontal="left" vertical="center"/>
    </xf>
    <xf numFmtId="5" fontId="24" fillId="0" borderId="16">
      <alignment horizontal="left" vertical="top"/>
    </xf>
    <xf numFmtId="0" fontId="47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5" fillId="0" borderId="0">
      <alignment vertical="center"/>
    </xf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171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0" fontId="20" fillId="0" borderId="0"/>
    <xf numFmtId="0" fontId="14" fillId="0" borderId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6" fontId="21" fillId="0" borderId="0" applyFont="0" applyFill="0" applyBorder="0" applyAlignment="0" applyProtection="0"/>
    <xf numFmtId="169" fontId="19" fillId="0" borderId="0" applyFont="0" applyFill="0" applyBorder="0" applyAlignment="0" applyProtection="0"/>
    <xf numFmtId="184" fontId="25" fillId="0" borderId="0" applyFont="0" applyFill="0" applyBorder="0" applyAlignment="0" applyProtection="0"/>
    <xf numFmtId="184" fontId="25" fillId="0" borderId="0" applyFont="0" applyFill="0" applyBorder="0" applyAlignment="0" applyProtection="0"/>
    <xf numFmtId="9" fontId="17" fillId="0" borderId="0" applyFont="0" applyFill="0" applyBorder="0" applyAlignment="0" applyProtection="0"/>
    <xf numFmtId="190" fontId="8" fillId="0" borderId="0" applyFont="0" applyFill="0" applyBorder="0" applyAlignment="0" applyProtection="0"/>
    <xf numFmtId="165" fontId="56" fillId="0" borderId="0" applyFont="0" applyFill="0" applyBorder="0" applyAlignment="0" applyProtection="0"/>
    <xf numFmtId="183" fontId="25" fillId="0" borderId="0" applyFont="0" applyFill="0" applyBorder="0" applyAlignment="0" applyProtection="0"/>
    <xf numFmtId="0" fontId="20" fillId="0" borderId="0"/>
    <xf numFmtId="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0" fontId="16" fillId="0" borderId="0" applyFont="0" applyFill="0" applyBorder="0" applyAlignment="0" applyProtection="0"/>
    <xf numFmtId="165" fontId="76" fillId="0" borderId="0" applyFont="0" applyFill="0" applyBorder="0" applyAlignment="0" applyProtection="0"/>
    <xf numFmtId="174" fontId="77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69">
    <xf numFmtId="0" fontId="0" fillId="0" borderId="0" xfId="0"/>
    <xf numFmtId="0" fontId="8" fillId="0" borderId="0" xfId="9"/>
    <xf numFmtId="0" fontId="0" fillId="0" borderId="0" xfId="0" applyProtection="1">
      <protection locked="0" hidden="1"/>
    </xf>
    <xf numFmtId="0" fontId="8" fillId="0" borderId="17" xfId="9" applyBorder="1"/>
    <xf numFmtId="0" fontId="29" fillId="0" borderId="18" xfId="9" applyFont="1" applyBorder="1"/>
    <xf numFmtId="0" fontId="29" fillId="0" borderId="19" xfId="9" applyFont="1" applyBorder="1"/>
    <xf numFmtId="0" fontId="8" fillId="0" borderId="19" xfId="9" applyBorder="1"/>
    <xf numFmtId="0" fontId="8" fillId="0" borderId="20" xfId="9" applyBorder="1"/>
    <xf numFmtId="0" fontId="3" fillId="0" borderId="0" xfId="0" applyFont="1"/>
    <xf numFmtId="0" fontId="3" fillId="0" borderId="7" xfId="0" applyFont="1" applyBorder="1"/>
    <xf numFmtId="0" fontId="80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83" fillId="26" borderId="0" xfId="0" applyFont="1" applyFill="1"/>
    <xf numFmtId="0" fontId="80" fillId="0" borderId="0" xfId="0" applyFont="1" applyAlignment="1">
      <alignment horizontal="center"/>
    </xf>
    <xf numFmtId="0" fontId="5" fillId="0" borderId="21" xfId="0" applyFont="1" applyBorder="1" applyAlignment="1">
      <alignment horizontal="center"/>
    </xf>
    <xf numFmtId="0" fontId="84" fillId="26" borderId="21" xfId="0" applyFont="1" applyFill="1" applyBorder="1" applyAlignment="1">
      <alignment horizontal="center"/>
    </xf>
    <xf numFmtId="0" fontId="79" fillId="26" borderId="22" xfId="0" applyFont="1" applyFill="1" applyBorder="1" applyAlignment="1">
      <alignment vertical="center" wrapText="1"/>
    </xf>
    <xf numFmtId="0" fontId="79" fillId="26" borderId="7" xfId="0" applyFont="1" applyFill="1" applyBorder="1" applyAlignment="1">
      <alignment horizontal="center" vertical="center" wrapText="1"/>
    </xf>
    <xf numFmtId="0" fontId="86" fillId="26" borderId="7" xfId="0" applyFont="1" applyFill="1" applyBorder="1" applyAlignment="1">
      <alignment horizontal="center" vertical="center" wrapText="1"/>
    </xf>
    <xf numFmtId="0" fontId="87" fillId="26" borderId="7" xfId="0" applyFont="1" applyFill="1" applyBorder="1" applyAlignment="1">
      <alignment horizontal="center" vertical="center" wrapText="1"/>
    </xf>
    <xf numFmtId="0" fontId="87" fillId="26" borderId="23" xfId="0" applyFont="1" applyFill="1" applyBorder="1" applyAlignment="1">
      <alignment horizontal="center" vertical="center" wrapText="1"/>
    </xf>
    <xf numFmtId="0" fontId="28" fillId="0" borderId="7" xfId="0" applyFont="1" applyBorder="1" applyAlignment="1">
      <alignment horizontal="center"/>
    </xf>
    <xf numFmtId="0" fontId="78" fillId="0" borderId="7" xfId="0" applyFont="1" applyBorder="1" applyAlignment="1">
      <alignment wrapText="1"/>
    </xf>
    <xf numFmtId="0" fontId="88" fillId="26" borderId="7" xfId="0" applyFont="1" applyFill="1" applyBorder="1" applyAlignment="1">
      <alignment horizontal="center"/>
    </xf>
    <xf numFmtId="170" fontId="28" fillId="0" borderId="7" xfId="0" applyNumberFormat="1" applyFont="1" applyBorder="1" applyAlignment="1">
      <alignment horizontal="center"/>
    </xf>
    <xf numFmtId="170" fontId="28" fillId="26" borderId="7" xfId="0" applyNumberFormat="1" applyFont="1" applyFill="1" applyBorder="1" applyAlignment="1">
      <alignment horizontal="right"/>
    </xf>
    <xf numFmtId="3" fontId="28" fillId="26" borderId="7" xfId="0" applyNumberFormat="1" applyFont="1" applyFill="1" applyBorder="1" applyAlignment="1">
      <alignment horizontal="right"/>
    </xf>
    <xf numFmtId="3" fontId="89" fillId="26" borderId="7" xfId="0" applyNumberFormat="1" applyFont="1" applyFill="1" applyBorder="1" applyAlignment="1">
      <alignment horizontal="right"/>
    </xf>
    <xf numFmtId="3" fontId="28" fillId="0" borderId="7" xfId="0" applyNumberFormat="1" applyFont="1" applyBorder="1"/>
    <xf numFmtId="2" fontId="28" fillId="26" borderId="7" xfId="0" applyNumberFormat="1" applyFont="1" applyFill="1" applyBorder="1" applyAlignment="1">
      <alignment horizontal="right"/>
    </xf>
    <xf numFmtId="3" fontId="28" fillId="0" borderId="24" xfId="0" applyNumberFormat="1" applyFont="1" applyBorder="1"/>
    <xf numFmtId="0" fontId="90" fillId="0" borderId="0" xfId="0" applyFont="1"/>
    <xf numFmtId="0" fontId="78" fillId="0" borderId="7" xfId="0" applyFont="1" applyBorder="1" applyAlignment="1">
      <alignment horizontal="center"/>
    </xf>
    <xf numFmtId="0" fontId="78" fillId="0" borderId="7" xfId="0" applyFont="1" applyBorder="1"/>
    <xf numFmtId="0" fontId="88" fillId="0" borderId="7" xfId="0" applyFont="1" applyBorder="1" applyAlignment="1">
      <alignment horizontal="center"/>
    </xf>
    <xf numFmtId="3" fontId="28" fillId="0" borderId="7" xfId="0" applyNumberFormat="1" applyFont="1" applyBorder="1" applyAlignment="1">
      <alignment horizontal="center"/>
    </xf>
    <xf numFmtId="4" fontId="79" fillId="26" borderId="7" xfId="0" applyNumberFormat="1" applyFont="1" applyFill="1" applyBorder="1" applyAlignment="1">
      <alignment horizontal="right"/>
    </xf>
    <xf numFmtId="4" fontId="91" fillId="26" borderId="7" xfId="0" applyNumberFormat="1" applyFont="1" applyFill="1" applyBorder="1" applyAlignment="1">
      <alignment horizontal="right"/>
    </xf>
    <xf numFmtId="4" fontId="78" fillId="26" borderId="7" xfId="0" applyNumberFormat="1" applyFont="1" applyFill="1" applyBorder="1" applyAlignment="1">
      <alignment horizontal="right"/>
    </xf>
    <xf numFmtId="0" fontId="28" fillId="26" borderId="7" xfId="0" applyFont="1" applyFill="1" applyBorder="1" applyAlignment="1">
      <alignment horizontal="right"/>
    </xf>
    <xf numFmtId="3" fontId="28" fillId="0" borderId="25" xfId="0" applyNumberFormat="1" applyFont="1" applyBorder="1"/>
    <xf numFmtId="0" fontId="28" fillId="0" borderId="0" xfId="0" applyFont="1"/>
    <xf numFmtId="4" fontId="28" fillId="0" borderId="7" xfId="0" applyNumberFormat="1" applyFont="1" applyBorder="1" applyAlignment="1">
      <alignment horizontal="right"/>
    </xf>
    <xf numFmtId="4" fontId="28" fillId="26" borderId="7" xfId="0" applyNumberFormat="1" applyFont="1" applyFill="1" applyBorder="1" applyAlignment="1">
      <alignment horizontal="right"/>
    </xf>
    <xf numFmtId="0" fontId="78" fillId="26" borderId="7" xfId="0" applyFont="1" applyFill="1" applyBorder="1" applyAlignment="1">
      <alignment horizontal="center"/>
    </xf>
    <xf numFmtId="0" fontId="28" fillId="26" borderId="7" xfId="0" applyFont="1" applyFill="1" applyBorder="1"/>
    <xf numFmtId="170" fontId="89" fillId="26" borderId="7" xfId="0" applyNumberFormat="1" applyFont="1" applyFill="1" applyBorder="1" applyAlignment="1">
      <alignment horizontal="right"/>
    </xf>
    <xf numFmtId="0" fontId="92" fillId="26" borderId="0" xfId="0" applyFont="1" applyFill="1"/>
    <xf numFmtId="170" fontId="28" fillId="0" borderId="7" xfId="0" applyNumberFormat="1" applyFont="1" applyBorder="1" applyAlignment="1">
      <alignment horizontal="right"/>
    </xf>
    <xf numFmtId="0" fontId="28" fillId="0" borderId="7" xfId="0" applyFont="1" applyBorder="1"/>
    <xf numFmtId="170" fontId="89" fillId="0" borderId="7" xfId="0" applyNumberFormat="1" applyFont="1" applyBorder="1" applyAlignment="1">
      <alignment horizontal="right"/>
    </xf>
    <xf numFmtId="0" fontId="28" fillId="26" borderId="7" xfId="0" applyFont="1" applyFill="1" applyBorder="1" applyAlignment="1">
      <alignment horizontal="center"/>
    </xf>
    <xf numFmtId="0" fontId="88" fillId="26" borderId="7" xfId="0" applyFont="1" applyFill="1" applyBorder="1" applyAlignment="1">
      <alignment horizontal="center" vertical="center" wrapText="1"/>
    </xf>
    <xf numFmtId="4" fontId="78" fillId="0" borderId="7" xfId="0" applyNumberFormat="1" applyFont="1" applyBorder="1" applyAlignment="1">
      <alignment horizontal="right"/>
    </xf>
    <xf numFmtId="0" fontId="92" fillId="0" borderId="0" xfId="0" applyFont="1"/>
    <xf numFmtId="0" fontId="28" fillId="0" borderId="7" xfId="0" applyFont="1" applyBorder="1" applyAlignment="1">
      <alignment horizontal="left" vertical="center" wrapText="1"/>
    </xf>
    <xf numFmtId="192" fontId="28" fillId="0" borderId="7" xfId="0" applyNumberFormat="1" applyFont="1" applyBorder="1" applyAlignment="1">
      <alignment horizontal="right"/>
    </xf>
    <xf numFmtId="1" fontId="28" fillId="0" borderId="7" xfId="0" applyNumberFormat="1" applyFont="1" applyBorder="1" applyAlignment="1">
      <alignment horizontal="right"/>
    </xf>
    <xf numFmtId="170" fontId="90" fillId="0" borderId="0" xfId="0" applyNumberFormat="1" applyFont="1"/>
    <xf numFmtId="193" fontId="90" fillId="0" borderId="0" xfId="0" applyNumberFormat="1" applyFont="1"/>
    <xf numFmtId="192" fontId="28" fillId="26" borderId="7" xfId="0" applyNumberFormat="1" applyFont="1" applyFill="1" applyBorder="1" applyAlignment="1">
      <alignment horizontal="right"/>
    </xf>
    <xf numFmtId="3" fontId="28" fillId="0" borderId="7" xfId="0" applyNumberFormat="1" applyFont="1" applyBorder="1" applyAlignment="1">
      <alignment horizontal="right"/>
    </xf>
    <xf numFmtId="0" fontId="28" fillId="0" borderId="7" xfId="0" applyFont="1" applyBorder="1" applyAlignment="1">
      <alignment horizontal="left" wrapText="1"/>
    </xf>
    <xf numFmtId="4" fontId="89" fillId="26" borderId="7" xfId="0" applyNumberFormat="1" applyFont="1" applyFill="1" applyBorder="1" applyAlignment="1">
      <alignment horizontal="right"/>
    </xf>
    <xf numFmtId="194" fontId="28" fillId="0" borderId="7" xfId="98" applyNumberFormat="1" applyFont="1" applyFill="1" applyBorder="1" applyAlignment="1">
      <alignment horizontal="right"/>
    </xf>
    <xf numFmtId="195" fontId="28" fillId="0" borderId="7" xfId="98" applyNumberFormat="1" applyFont="1" applyFill="1" applyBorder="1" applyAlignment="1">
      <alignment horizontal="right"/>
    </xf>
    <xf numFmtId="0" fontId="78" fillId="0" borderId="7" xfId="247" applyFont="1" applyBorder="1" applyAlignment="1">
      <alignment horizontal="center"/>
    </xf>
    <xf numFmtId="0" fontId="78" fillId="0" borderId="7" xfId="247" applyFont="1" applyBorder="1" applyAlignment="1">
      <alignment horizontal="left"/>
    </xf>
    <xf numFmtId="170" fontId="28" fillId="0" borderId="0" xfId="0" applyNumberFormat="1" applyFont="1"/>
    <xf numFmtId="193" fontId="28" fillId="0" borderId="0" xfId="0" applyNumberFormat="1" applyFont="1"/>
    <xf numFmtId="192" fontId="28" fillId="26" borderId="7" xfId="0" applyNumberFormat="1" applyFont="1" applyFill="1" applyBorder="1" applyAlignment="1">
      <alignment horizontal="center" vertical="center" wrapText="1"/>
    </xf>
    <xf numFmtId="170" fontId="28" fillId="26" borderId="7" xfId="0" applyNumberFormat="1" applyFont="1" applyFill="1" applyBorder="1"/>
    <xf numFmtId="170" fontId="89" fillId="26" borderId="7" xfId="0" applyNumberFormat="1" applyFont="1" applyFill="1" applyBorder="1"/>
    <xf numFmtId="196" fontId="90" fillId="0" borderId="0" xfId="0" applyNumberFormat="1" applyFont="1"/>
    <xf numFmtId="192" fontId="89" fillId="0" borderId="7" xfId="0" applyNumberFormat="1" applyFont="1" applyBorder="1" applyAlignment="1">
      <alignment horizontal="right"/>
    </xf>
    <xf numFmtId="192" fontId="89" fillId="26" borderId="7" xfId="0" applyNumberFormat="1" applyFont="1" applyFill="1" applyBorder="1" applyAlignment="1">
      <alignment horizontal="right"/>
    </xf>
    <xf numFmtId="177" fontId="28" fillId="0" borderId="7" xfId="0" applyNumberFormat="1" applyFont="1" applyBorder="1"/>
    <xf numFmtId="0" fontId="79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88" fillId="0" borderId="7" xfId="0" applyFont="1" applyBorder="1" applyAlignment="1">
      <alignment horizontal="center" vertical="center"/>
    </xf>
    <xf numFmtId="2" fontId="28" fillId="26" borderId="7" xfId="0" applyNumberFormat="1" applyFont="1" applyFill="1" applyBorder="1" applyAlignment="1">
      <alignment horizontal="center" vertical="center" wrapText="1"/>
    </xf>
    <xf numFmtId="2" fontId="28" fillId="0" borderId="7" xfId="0" applyNumberFormat="1" applyFont="1" applyBorder="1" applyAlignment="1">
      <alignment horizontal="right"/>
    </xf>
    <xf numFmtId="2" fontId="89" fillId="0" borderId="7" xfId="0" applyNumberFormat="1" applyFont="1" applyBorder="1" applyAlignment="1">
      <alignment horizontal="right"/>
    </xf>
    <xf numFmtId="170" fontId="28" fillId="0" borderId="7" xfId="0" applyNumberFormat="1" applyFont="1" applyBorder="1"/>
    <xf numFmtId="0" fontId="78" fillId="0" borderId="7" xfId="247" applyFont="1" applyBorder="1" applyAlignment="1">
      <alignment horizontal="center" vertical="center"/>
    </xf>
    <xf numFmtId="0" fontId="78" fillId="0" borderId="7" xfId="0" applyFont="1" applyBorder="1" applyAlignment="1">
      <alignment vertical="center" wrapText="1"/>
    </xf>
    <xf numFmtId="1" fontId="89" fillId="0" borderId="7" xfId="0" applyNumberFormat="1" applyFont="1" applyBorder="1" applyAlignment="1">
      <alignment horizontal="right"/>
    </xf>
    <xf numFmtId="0" fontId="94" fillId="0" borderId="0" xfId="0" applyFont="1"/>
    <xf numFmtId="0" fontId="89" fillId="26" borderId="7" xfId="0" applyFont="1" applyFill="1" applyBorder="1"/>
    <xf numFmtId="3" fontId="3" fillId="0" borderId="7" xfId="0" applyNumberFormat="1" applyFont="1" applyBorder="1"/>
    <xf numFmtId="3" fontId="3" fillId="0" borderId="25" xfId="0" applyNumberFormat="1" applyFont="1" applyBorder="1"/>
    <xf numFmtId="3" fontId="3" fillId="0" borderId="26" xfId="0" applyNumberFormat="1" applyFont="1" applyBorder="1"/>
    <xf numFmtId="0" fontId="79" fillId="0" borderId="0" xfId="0" applyFont="1" applyAlignment="1">
      <alignment horizontal="center"/>
    </xf>
    <xf numFmtId="170" fontId="6" fillId="0" borderId="0" xfId="0" applyNumberFormat="1" applyFont="1"/>
    <xf numFmtId="0" fontId="78" fillId="0" borderId="28" xfId="0" applyFont="1" applyBorder="1" applyAlignment="1">
      <alignment horizontal="center" vertical="center" wrapText="1"/>
    </xf>
    <xf numFmtId="170" fontId="79" fillId="0" borderId="28" xfId="0" applyNumberFormat="1" applyFont="1" applyBorder="1"/>
    <xf numFmtId="170" fontId="6" fillId="0" borderId="27" xfId="0" applyNumberFormat="1" applyFont="1" applyBorder="1"/>
    <xf numFmtId="170" fontId="6" fillId="0" borderId="28" xfId="0" applyNumberFormat="1" applyFont="1" applyBorder="1"/>
    <xf numFmtId="0" fontId="78" fillId="28" borderId="7" xfId="0" applyFont="1" applyFill="1" applyBorder="1" applyAlignment="1">
      <alignment horizontal="center"/>
    </xf>
    <xf numFmtId="0" fontId="28" fillId="28" borderId="7" xfId="0" applyFont="1" applyFill="1" applyBorder="1" applyAlignment="1">
      <alignment horizontal="left" vertical="center" wrapText="1"/>
    </xf>
    <xf numFmtId="0" fontId="88" fillId="28" borderId="7" xfId="0" applyFont="1" applyFill="1" applyBorder="1" applyAlignment="1">
      <alignment horizontal="center" vertical="center" wrapText="1"/>
    </xf>
    <xf numFmtId="3" fontId="28" fillId="28" borderId="7" xfId="0" applyNumberFormat="1" applyFont="1" applyFill="1" applyBorder="1" applyAlignment="1">
      <alignment horizontal="center"/>
    </xf>
    <xf numFmtId="3" fontId="28" fillId="28" borderId="7" xfId="0" applyNumberFormat="1" applyFont="1" applyFill="1" applyBorder="1" applyAlignment="1">
      <alignment horizontal="right"/>
    </xf>
    <xf numFmtId="3" fontId="89" fillId="28" borderId="7" xfId="0" applyNumberFormat="1" applyFont="1" applyFill="1" applyBorder="1" applyAlignment="1">
      <alignment horizontal="right"/>
    </xf>
    <xf numFmtId="170" fontId="28" fillId="28" borderId="7" xfId="0" applyNumberFormat="1" applyFont="1" applyFill="1" applyBorder="1" applyAlignment="1">
      <alignment horizontal="right"/>
    </xf>
    <xf numFmtId="3" fontId="28" fillId="28" borderId="7" xfId="0" applyNumberFormat="1" applyFont="1" applyFill="1" applyBorder="1"/>
    <xf numFmtId="192" fontId="28" fillId="28" borderId="7" xfId="0" applyNumberFormat="1" applyFont="1" applyFill="1" applyBorder="1" applyAlignment="1">
      <alignment horizontal="right"/>
    </xf>
    <xf numFmtId="3" fontId="28" fillId="28" borderId="25" xfId="0" applyNumberFormat="1" applyFont="1" applyFill="1" applyBorder="1"/>
    <xf numFmtId="0" fontId="90" fillId="28" borderId="0" xfId="0" applyFont="1" applyFill="1"/>
    <xf numFmtId="193" fontId="90" fillId="28" borderId="0" xfId="0" applyNumberFormat="1" applyFont="1" applyFill="1"/>
    <xf numFmtId="170" fontId="28" fillId="28" borderId="7" xfId="0" applyNumberFormat="1" applyFont="1" applyFill="1" applyBorder="1" applyAlignment="1">
      <alignment horizontal="center"/>
    </xf>
    <xf numFmtId="0" fontId="28" fillId="28" borderId="7" xfId="0" applyFont="1" applyFill="1" applyBorder="1" applyAlignment="1">
      <alignment horizontal="right"/>
    </xf>
    <xf numFmtId="0" fontId="28" fillId="28" borderId="0" xfId="0" applyFont="1" applyFill="1"/>
    <xf numFmtId="170" fontId="28" fillId="28" borderId="0" xfId="0" applyNumberFormat="1" applyFont="1" applyFill="1"/>
    <xf numFmtId="193" fontId="28" fillId="28" borderId="0" xfId="0" applyNumberFormat="1" applyFont="1" applyFill="1"/>
    <xf numFmtId="0" fontId="28" fillId="28" borderId="7" xfId="0" applyFont="1" applyFill="1" applyBorder="1"/>
    <xf numFmtId="194" fontId="28" fillId="28" borderId="7" xfId="98" applyNumberFormat="1" applyFont="1" applyFill="1" applyBorder="1" applyAlignment="1">
      <alignment horizontal="right"/>
    </xf>
    <xf numFmtId="170" fontId="89" fillId="28" borderId="7" xfId="0" applyNumberFormat="1" applyFont="1" applyFill="1" applyBorder="1" applyAlignment="1">
      <alignment horizontal="right"/>
    </xf>
    <xf numFmtId="170" fontId="90" fillId="28" borderId="0" xfId="0" applyNumberFormat="1" applyFont="1" applyFill="1"/>
    <xf numFmtId="2" fontId="90" fillId="0" borderId="0" xfId="0" applyNumberFormat="1" applyFont="1"/>
    <xf numFmtId="0" fontId="79" fillId="28" borderId="28" xfId="248" applyFont="1" applyFill="1" applyBorder="1" applyAlignment="1">
      <alignment horizontal="center" vertical="center" wrapText="1"/>
    </xf>
    <xf numFmtId="0" fontId="95" fillId="0" borderId="28" xfId="248" applyFont="1" applyBorder="1" applyAlignment="1">
      <alignment horizontal="center" vertical="center" wrapText="1"/>
    </xf>
    <xf numFmtId="0" fontId="79" fillId="0" borderId="34" xfId="190" applyFont="1" applyBorder="1" applyAlignment="1">
      <alignment wrapText="1"/>
    </xf>
    <xf numFmtId="0" fontId="79" fillId="0" borderId="28" xfId="190" applyFont="1" applyBorder="1" applyAlignment="1">
      <alignment horizontal="center"/>
    </xf>
    <xf numFmtId="0" fontId="79" fillId="28" borderId="28" xfId="190" applyFont="1" applyFill="1" applyBorder="1" applyAlignment="1">
      <alignment horizontal="center"/>
    </xf>
    <xf numFmtId="0" fontId="95" fillId="0" borderId="28" xfId="190" applyFont="1" applyBorder="1" applyAlignment="1">
      <alignment horizontal="center"/>
    </xf>
    <xf numFmtId="0" fontId="6" fillId="0" borderId="28" xfId="0" applyFont="1" applyBorder="1"/>
    <xf numFmtId="0" fontId="6" fillId="0" borderId="29" xfId="0" applyFont="1" applyBorder="1"/>
    <xf numFmtId="0" fontId="96" fillId="0" borderId="34" xfId="190" applyFont="1" applyBorder="1" applyAlignment="1">
      <alignment wrapText="1"/>
    </xf>
    <xf numFmtId="0" fontId="94" fillId="0" borderId="28" xfId="190" applyFont="1" applyBorder="1" applyAlignment="1">
      <alignment horizontal="center"/>
    </xf>
    <xf numFmtId="4" fontId="96" fillId="28" borderId="28" xfId="0" applyNumberFormat="1" applyFont="1" applyFill="1" applyBorder="1"/>
    <xf numFmtId="170" fontId="96" fillId="0" borderId="28" xfId="0" applyNumberFormat="1" applyFont="1" applyBorder="1"/>
    <xf numFmtId="4" fontId="96" fillId="0" borderId="28" xfId="0" applyNumberFormat="1" applyFont="1" applyBorder="1"/>
    <xf numFmtId="192" fontId="94" fillId="0" borderId="28" xfId="0" applyNumberFormat="1" applyFont="1" applyBorder="1"/>
    <xf numFmtId="192" fontId="94" fillId="0" borderId="29" xfId="0" applyNumberFormat="1" applyFont="1" applyBorder="1"/>
    <xf numFmtId="170" fontId="94" fillId="0" borderId="0" xfId="0" applyNumberFormat="1" applyFont="1"/>
    <xf numFmtId="4" fontId="94" fillId="0" borderId="0" xfId="0" applyNumberFormat="1" applyFont="1"/>
    <xf numFmtId="0" fontId="97" fillId="0" borderId="34" xfId="190" applyFont="1" applyBorder="1" applyAlignment="1">
      <alignment wrapText="1"/>
    </xf>
    <xf numFmtId="0" fontId="6" fillId="0" borderId="28" xfId="190" applyFont="1" applyBorder="1" applyAlignment="1">
      <alignment horizontal="center"/>
    </xf>
    <xf numFmtId="4" fontId="6" fillId="28" borderId="28" xfId="0" applyNumberFormat="1" applyFont="1" applyFill="1" applyBorder="1"/>
    <xf numFmtId="170" fontId="98" fillId="0" borderId="28" xfId="0" applyNumberFormat="1" applyFont="1" applyBorder="1"/>
    <xf numFmtId="4" fontId="94" fillId="29" borderId="28" xfId="0" applyNumberFormat="1" applyFont="1" applyFill="1" applyBorder="1"/>
    <xf numFmtId="4" fontId="6" fillId="0" borderId="28" xfId="0" applyNumberFormat="1" applyFont="1" applyBorder="1"/>
    <xf numFmtId="192" fontId="6" fillId="0" borderId="29" xfId="0" applyNumberFormat="1" applyFont="1" applyBorder="1"/>
    <xf numFmtId="4" fontId="6" fillId="0" borderId="0" xfId="0" applyNumberFormat="1" applyFont="1"/>
    <xf numFmtId="0" fontId="6" fillId="0" borderId="34" xfId="190" applyFont="1" applyBorder="1" applyAlignment="1">
      <alignment wrapText="1"/>
    </xf>
    <xf numFmtId="170" fontId="94" fillId="29" borderId="28" xfId="0" applyNumberFormat="1" applyFont="1" applyFill="1" applyBorder="1"/>
    <xf numFmtId="4" fontId="6" fillId="26" borderId="28" xfId="0" applyNumberFormat="1" applyFont="1" applyFill="1" applyBorder="1"/>
    <xf numFmtId="170" fontId="6" fillId="26" borderId="28" xfId="0" applyNumberFormat="1" applyFont="1" applyFill="1" applyBorder="1"/>
    <xf numFmtId="4" fontId="94" fillId="28" borderId="28" xfId="0" applyNumberFormat="1" applyFont="1" applyFill="1" applyBorder="1"/>
    <xf numFmtId="4" fontId="94" fillId="26" borderId="28" xfId="0" applyNumberFormat="1" applyFont="1" applyFill="1" applyBorder="1"/>
    <xf numFmtId="170" fontId="94" fillId="0" borderId="28" xfId="0" applyNumberFormat="1" applyFont="1" applyBorder="1"/>
    <xf numFmtId="192" fontId="6" fillId="0" borderId="28" xfId="0" applyNumberFormat="1" applyFont="1" applyBorder="1"/>
    <xf numFmtId="0" fontId="99" fillId="0" borderId="34" xfId="190" applyFont="1" applyBorder="1" applyAlignment="1">
      <alignment wrapText="1"/>
    </xf>
    <xf numFmtId="0" fontId="99" fillId="0" borderId="28" xfId="190" applyFont="1" applyBorder="1" applyAlignment="1">
      <alignment horizontal="center"/>
    </xf>
    <xf numFmtId="0" fontId="100" fillId="0" borderId="28" xfId="190" applyFont="1" applyBorder="1" applyAlignment="1">
      <alignment horizontal="center"/>
    </xf>
    <xf numFmtId="0" fontId="6" fillId="0" borderId="34" xfId="248" applyFont="1" applyBorder="1" applyAlignment="1">
      <alignment wrapText="1"/>
    </xf>
    <xf numFmtId="0" fontId="6" fillId="0" borderId="28" xfId="248" applyFont="1" applyBorder="1"/>
    <xf numFmtId="3" fontId="80" fillId="26" borderId="0" xfId="249" applyNumberFormat="1" applyFont="1" applyFill="1" applyAlignment="1">
      <alignment vertical="center"/>
    </xf>
    <xf numFmtId="170" fontId="80" fillId="26" borderId="0" xfId="249" applyNumberFormat="1" applyFont="1" applyFill="1" applyAlignment="1">
      <alignment vertical="center"/>
    </xf>
    <xf numFmtId="4" fontId="79" fillId="28" borderId="28" xfId="0" applyNumberFormat="1" applyFont="1" applyFill="1" applyBorder="1"/>
    <xf numFmtId="170" fontId="95" fillId="0" borderId="28" xfId="0" applyNumberFormat="1" applyFont="1" applyBorder="1"/>
    <xf numFmtId="4" fontId="79" fillId="0" borderId="28" xfId="0" applyNumberFormat="1" applyFont="1" applyBorder="1"/>
    <xf numFmtId="0" fontId="101" fillId="0" borderId="0" xfId="0" applyFont="1"/>
    <xf numFmtId="170" fontId="79" fillId="0" borderId="28" xfId="190" applyNumberFormat="1" applyFont="1" applyBorder="1"/>
    <xf numFmtId="3" fontId="6" fillId="0" borderId="28" xfId="190" applyNumberFormat="1" applyFont="1" applyBorder="1" applyAlignment="1">
      <alignment horizontal="center"/>
    </xf>
    <xf numFmtId="4" fontId="95" fillId="28" borderId="28" xfId="190" applyNumberFormat="1" applyFont="1" applyFill="1" applyBorder="1"/>
    <xf numFmtId="4" fontId="79" fillId="0" borderId="28" xfId="190" applyNumberFormat="1" applyFont="1" applyBorder="1"/>
    <xf numFmtId="0" fontId="100" fillId="0" borderId="34" xfId="190" applyFont="1" applyBorder="1" applyAlignment="1">
      <alignment wrapText="1"/>
    </xf>
    <xf numFmtId="4" fontId="99" fillId="28" borderId="28" xfId="0" applyNumberFormat="1" applyFont="1" applyFill="1" applyBorder="1"/>
    <xf numFmtId="170" fontId="6" fillId="0" borderId="28" xfId="248" applyNumberFormat="1" applyFont="1" applyBorder="1"/>
    <xf numFmtId="4" fontId="99" fillId="0" borderId="28" xfId="0" applyNumberFormat="1" applyFont="1" applyBorder="1"/>
    <xf numFmtId="4" fontId="6" fillId="28" borderId="28" xfId="248" applyNumberFormat="1" applyFont="1" applyFill="1" applyBorder="1" applyAlignment="1">
      <alignment horizontal="right"/>
    </xf>
    <xf numFmtId="4" fontId="6" fillId="0" borderId="28" xfId="248" applyNumberFormat="1" applyFont="1" applyBorder="1" applyAlignment="1">
      <alignment horizontal="right"/>
    </xf>
    <xf numFmtId="4" fontId="79" fillId="28" borderId="28" xfId="190" applyNumberFormat="1" applyFont="1" applyFill="1" applyBorder="1"/>
    <xf numFmtId="0" fontId="6" fillId="0" borderId="34" xfId="0" applyFont="1" applyBorder="1" applyAlignment="1">
      <alignment wrapText="1"/>
    </xf>
    <xf numFmtId="0" fontId="79" fillId="0" borderId="34" xfId="0" applyFont="1" applyBorder="1" applyAlignment="1">
      <alignment wrapText="1"/>
    </xf>
    <xf numFmtId="170" fontId="6" fillId="28" borderId="28" xfId="248" applyNumberFormat="1" applyFont="1" applyFill="1" applyBorder="1"/>
    <xf numFmtId="0" fontId="97" fillId="0" borderId="34" xfId="0" applyFont="1" applyBorder="1" applyAlignment="1">
      <alignment wrapText="1"/>
    </xf>
    <xf numFmtId="0" fontId="97" fillId="0" borderId="28" xfId="190" applyFont="1" applyBorder="1" applyAlignment="1">
      <alignment horizontal="center"/>
    </xf>
    <xf numFmtId="0" fontId="94" fillId="0" borderId="34" xfId="0" applyFont="1" applyBorder="1" applyAlignment="1">
      <alignment wrapText="1"/>
    </xf>
    <xf numFmtId="4" fontId="94" fillId="0" borderId="28" xfId="0" applyNumberFormat="1" applyFont="1" applyBorder="1"/>
    <xf numFmtId="170" fontId="94" fillId="0" borderId="27" xfId="0" applyNumberFormat="1" applyFont="1" applyBorder="1"/>
    <xf numFmtId="170" fontId="6" fillId="0" borderId="27" xfId="248" applyNumberFormat="1" applyFont="1" applyBorder="1" applyAlignment="1">
      <alignment horizontal="right"/>
    </xf>
    <xf numFmtId="4" fontId="6" fillId="28" borderId="28" xfId="248" applyNumberFormat="1" applyFont="1" applyFill="1" applyBorder="1"/>
    <xf numFmtId="170" fontId="6" fillId="0" borderId="27" xfId="248" applyNumberFormat="1" applyFont="1" applyBorder="1"/>
    <xf numFmtId="0" fontId="6" fillId="26" borderId="28" xfId="190" applyFont="1" applyFill="1" applyBorder="1" applyAlignment="1">
      <alignment horizontal="center"/>
    </xf>
    <xf numFmtId="170" fontId="79" fillId="26" borderId="28" xfId="0" applyNumberFormat="1" applyFont="1" applyFill="1" applyBorder="1"/>
    <xf numFmtId="192" fontId="6" fillId="26" borderId="28" xfId="0" applyNumberFormat="1" applyFont="1" applyFill="1" applyBorder="1"/>
    <xf numFmtId="192" fontId="6" fillId="26" borderId="29" xfId="0" applyNumberFormat="1" applyFont="1" applyFill="1" applyBorder="1"/>
    <xf numFmtId="0" fontId="6" fillId="26" borderId="0" xfId="0" applyFont="1" applyFill="1"/>
    <xf numFmtId="4" fontId="6" fillId="26" borderId="0" xfId="0" applyNumberFormat="1" applyFont="1" applyFill="1"/>
    <xf numFmtId="170" fontId="98" fillId="26" borderId="28" xfId="248" applyNumberFormat="1" applyFont="1" applyFill="1" applyBorder="1"/>
    <xf numFmtId="4" fontId="6" fillId="26" borderId="28" xfId="0" applyNumberFormat="1" applyFont="1" applyFill="1" applyBorder="1" applyAlignment="1">
      <alignment vertical="center"/>
    </xf>
    <xf numFmtId="170" fontId="6" fillId="26" borderId="27" xfId="248" applyNumberFormat="1" applyFont="1" applyFill="1" applyBorder="1" applyAlignment="1">
      <alignment horizontal="right"/>
    </xf>
    <xf numFmtId="0" fontId="94" fillId="26" borderId="28" xfId="190" applyFont="1" applyFill="1" applyBorder="1" applyAlignment="1">
      <alignment horizontal="center"/>
    </xf>
    <xf numFmtId="4" fontId="94" fillId="28" borderId="28" xfId="0" applyNumberFormat="1" applyFont="1" applyFill="1" applyBorder="1" applyAlignment="1">
      <alignment vertical="center"/>
    </xf>
    <xf numFmtId="4" fontId="94" fillId="26" borderId="28" xfId="0" applyNumberFormat="1" applyFont="1" applyFill="1" applyBorder="1" applyAlignment="1">
      <alignment vertical="center"/>
    </xf>
    <xf numFmtId="170" fontId="96" fillId="26" borderId="28" xfId="0" applyNumberFormat="1" applyFont="1" applyFill="1" applyBorder="1"/>
    <xf numFmtId="192" fontId="94" fillId="26" borderId="28" xfId="0" applyNumberFormat="1" applyFont="1" applyFill="1" applyBorder="1"/>
    <xf numFmtId="192" fontId="94" fillId="26" borderId="29" xfId="0" applyNumberFormat="1" applyFont="1" applyFill="1" applyBorder="1"/>
    <xf numFmtId="0" fontId="102" fillId="0" borderId="34" xfId="0" applyFont="1" applyBorder="1" applyAlignment="1">
      <alignment wrapText="1"/>
    </xf>
    <xf numFmtId="0" fontId="79" fillId="26" borderId="28" xfId="190" applyFont="1" applyFill="1" applyBorder="1" applyAlignment="1">
      <alignment horizontal="center"/>
    </xf>
    <xf numFmtId="4" fontId="6" fillId="26" borderId="28" xfId="248" applyNumberFormat="1" applyFont="1" applyFill="1" applyBorder="1" applyAlignment="1">
      <alignment horizontal="right"/>
    </xf>
    <xf numFmtId="4" fontId="79" fillId="26" borderId="28" xfId="0" applyNumberFormat="1" applyFont="1" applyFill="1" applyBorder="1"/>
    <xf numFmtId="170" fontId="98" fillId="28" borderId="28" xfId="248" applyNumberFormat="1" applyFont="1" applyFill="1" applyBorder="1"/>
    <xf numFmtId="4" fontId="94" fillId="28" borderId="28" xfId="190" applyNumberFormat="1" applyFont="1" applyFill="1" applyBorder="1" applyAlignment="1">
      <alignment horizontal="right"/>
    </xf>
    <xf numFmtId="4" fontId="94" fillId="26" borderId="28" xfId="190" applyNumberFormat="1" applyFont="1" applyFill="1" applyBorder="1" applyAlignment="1">
      <alignment horizontal="right"/>
    </xf>
    <xf numFmtId="0" fontId="94" fillId="0" borderId="34" xfId="190" applyFont="1" applyBorder="1" applyAlignment="1">
      <alignment wrapText="1"/>
    </xf>
    <xf numFmtId="4" fontId="94" fillId="28" borderId="28" xfId="248" applyNumberFormat="1" applyFont="1" applyFill="1" applyBorder="1" applyAlignment="1">
      <alignment horizontal="right"/>
    </xf>
    <xf numFmtId="170" fontId="94" fillId="26" borderId="28" xfId="248" applyNumberFormat="1" applyFont="1" applyFill="1" applyBorder="1"/>
    <xf numFmtId="170" fontId="94" fillId="26" borderId="28" xfId="0" applyNumberFormat="1" applyFont="1" applyFill="1" applyBorder="1"/>
    <xf numFmtId="4" fontId="94" fillId="26" borderId="28" xfId="248" applyNumberFormat="1" applyFont="1" applyFill="1" applyBorder="1" applyAlignment="1">
      <alignment horizontal="right"/>
    </xf>
    <xf numFmtId="4" fontId="98" fillId="28" borderId="28" xfId="190" applyNumberFormat="1" applyFont="1" applyFill="1" applyBorder="1"/>
    <xf numFmtId="4" fontId="98" fillId="26" borderId="28" xfId="190" applyNumberFormat="1" applyFont="1" applyFill="1" applyBorder="1"/>
    <xf numFmtId="170" fontId="6" fillId="28" borderId="28" xfId="0" applyNumberFormat="1" applyFont="1" applyFill="1" applyBorder="1"/>
    <xf numFmtId="0" fontId="6" fillId="26" borderId="28" xfId="0" applyFont="1" applyFill="1" applyBorder="1" applyAlignment="1">
      <alignment horizontal="center"/>
    </xf>
    <xf numFmtId="4" fontId="98" fillId="28" borderId="28" xfId="248" applyNumberFormat="1" applyFont="1" applyFill="1" applyBorder="1"/>
    <xf numFmtId="4" fontId="98" fillId="26" borderId="28" xfId="248" applyNumberFormat="1" applyFont="1" applyFill="1" applyBorder="1"/>
    <xf numFmtId="0" fontId="94" fillId="26" borderId="28" xfId="0" applyFont="1" applyFill="1" applyBorder="1" applyAlignment="1">
      <alignment horizontal="center"/>
    </xf>
    <xf numFmtId="4" fontId="94" fillId="28" borderId="28" xfId="248" applyNumberFormat="1" applyFont="1" applyFill="1" applyBorder="1"/>
    <xf numFmtId="4" fontId="94" fillId="26" borderId="28" xfId="248" applyNumberFormat="1" applyFont="1" applyFill="1" applyBorder="1"/>
    <xf numFmtId="0" fontId="102" fillId="0" borderId="34" xfId="190" applyFont="1" applyBorder="1" applyAlignment="1">
      <alignment wrapText="1"/>
    </xf>
    <xf numFmtId="170" fontId="94" fillId="28" borderId="28" xfId="248" applyNumberFormat="1" applyFont="1" applyFill="1" applyBorder="1"/>
    <xf numFmtId="0" fontId="94" fillId="26" borderId="34" xfId="190" applyFont="1" applyFill="1" applyBorder="1" applyAlignment="1">
      <alignment wrapText="1"/>
    </xf>
    <xf numFmtId="0" fontId="6" fillId="29" borderId="0" xfId="0" applyFont="1" applyFill="1"/>
    <xf numFmtId="170" fontId="6" fillId="26" borderId="28" xfId="248" applyNumberFormat="1" applyFont="1" applyFill="1" applyBorder="1"/>
    <xf numFmtId="4" fontId="6" fillId="26" borderId="28" xfId="248" applyNumberFormat="1" applyFont="1" applyFill="1" applyBorder="1"/>
    <xf numFmtId="0" fontId="6" fillId="0" borderId="35" xfId="190" applyFont="1" applyBorder="1" applyAlignment="1">
      <alignment wrapText="1"/>
    </xf>
    <xf numFmtId="0" fontId="6" fillId="26" borderId="30" xfId="190" applyFont="1" applyFill="1" applyBorder="1" applyAlignment="1">
      <alignment horizontal="center"/>
    </xf>
    <xf numFmtId="170" fontId="98" fillId="28" borderId="30" xfId="248" applyNumberFormat="1" applyFont="1" applyFill="1" applyBorder="1"/>
    <xf numFmtId="170" fontId="98" fillId="26" borderId="30" xfId="248" applyNumberFormat="1" applyFont="1" applyFill="1" applyBorder="1"/>
    <xf numFmtId="0" fontId="6" fillId="26" borderId="30" xfId="0" applyFont="1" applyFill="1" applyBorder="1"/>
    <xf numFmtId="192" fontId="6" fillId="26" borderId="30" xfId="0" applyNumberFormat="1" applyFont="1" applyFill="1" applyBorder="1"/>
    <xf numFmtId="192" fontId="6" fillId="26" borderId="36" xfId="0" applyNumberFormat="1" applyFont="1" applyFill="1" applyBorder="1"/>
    <xf numFmtId="0" fontId="6" fillId="0" borderId="0" xfId="248" applyFont="1" applyAlignment="1">
      <alignment wrapText="1"/>
    </xf>
    <xf numFmtId="0" fontId="6" fillId="0" borderId="0" xfId="248" applyFont="1"/>
    <xf numFmtId="0" fontId="6" fillId="28" borderId="0" xfId="248" applyFont="1" applyFill="1"/>
    <xf numFmtId="0" fontId="98" fillId="26" borderId="0" xfId="248" applyFont="1" applyFill="1"/>
    <xf numFmtId="170" fontId="98" fillId="26" borderId="0" xfId="0" applyNumberFormat="1" applyFont="1" applyFill="1"/>
    <xf numFmtId="192" fontId="6" fillId="26" borderId="0" xfId="0" applyNumberFormat="1" applyFont="1" applyFill="1"/>
    <xf numFmtId="192" fontId="6" fillId="0" borderId="0" xfId="0" applyNumberFormat="1" applyFont="1"/>
    <xf numFmtId="0" fontId="6" fillId="26" borderId="0" xfId="248" applyFont="1" applyFill="1"/>
    <xf numFmtId="170" fontId="6" fillId="26" borderId="0" xfId="0" applyNumberFormat="1" applyFont="1" applyFill="1"/>
    <xf numFmtId="0" fontId="91" fillId="0" borderId="0" xfId="256" applyFont="1"/>
    <xf numFmtId="0" fontId="86" fillId="0" borderId="0" xfId="256" applyFont="1" applyAlignment="1">
      <alignment horizontal="center" vertical="center" wrapText="1"/>
    </xf>
    <xf numFmtId="49" fontId="91" fillId="0" borderId="0" xfId="256" applyNumberFormat="1" applyFont="1"/>
    <xf numFmtId="2" fontId="91" fillId="0" borderId="0" xfId="256" applyNumberFormat="1" applyFont="1" applyAlignment="1">
      <alignment horizontal="center" vertical="center"/>
    </xf>
    <xf numFmtId="0" fontId="91" fillId="0" borderId="0" xfId="256" applyFont="1" applyAlignment="1">
      <alignment vertical="center"/>
    </xf>
    <xf numFmtId="0" fontId="91" fillId="0" borderId="7" xfId="256" applyFont="1" applyBorder="1" applyAlignment="1">
      <alignment vertical="center"/>
    </xf>
    <xf numFmtId="173" fontId="91" fillId="0" borderId="7" xfId="257" applyNumberFormat="1" applyFont="1" applyBorder="1" applyAlignment="1">
      <alignment horizontal="right" vertical="center" wrapText="1"/>
    </xf>
    <xf numFmtId="173" fontId="91" fillId="0" borderId="7" xfId="257" applyNumberFormat="1" applyFont="1" applyBorder="1" applyAlignment="1">
      <alignment horizontal="center" vertical="center" wrapText="1"/>
    </xf>
    <xf numFmtId="173" fontId="91" fillId="0" borderId="7" xfId="257" applyNumberFormat="1" applyFont="1" applyFill="1" applyBorder="1" applyAlignment="1">
      <alignment horizontal="center" vertical="center" wrapText="1"/>
    </xf>
    <xf numFmtId="0" fontId="86" fillId="0" borderId="0" xfId="256" applyFont="1" applyAlignment="1">
      <alignment horizontal="center" vertical="center"/>
    </xf>
    <xf numFmtId="3" fontId="91" fillId="0" borderId="0" xfId="256" applyNumberFormat="1" applyFont="1"/>
    <xf numFmtId="0" fontId="91" fillId="0" borderId="0" xfId="256" applyFont="1" applyAlignment="1">
      <alignment horizontal="center" vertical="center"/>
    </xf>
    <xf numFmtId="43" fontId="91" fillId="0" borderId="7" xfId="257" applyFont="1" applyBorder="1" applyAlignment="1">
      <alignment horizontal="center" vertical="center" wrapText="1"/>
    </xf>
    <xf numFmtId="43" fontId="91" fillId="0" borderId="7" xfId="257" applyFont="1" applyBorder="1" applyAlignment="1">
      <alignment horizontal="right" vertical="center" wrapText="1"/>
    </xf>
    <xf numFmtId="43" fontId="91" fillId="0" borderId="7" xfId="257" applyFont="1" applyFill="1" applyBorder="1" applyAlignment="1">
      <alignment horizontal="center" vertical="center" wrapText="1"/>
    </xf>
    <xf numFmtId="43" fontId="91" fillId="0" borderId="0" xfId="256" applyNumberFormat="1" applyFont="1"/>
    <xf numFmtId="43" fontId="91" fillId="0" borderId="7" xfId="256" applyNumberFormat="1" applyFont="1" applyBorder="1" applyAlignment="1">
      <alignment vertical="center"/>
    </xf>
    <xf numFmtId="43" fontId="106" fillId="0" borderId="7" xfId="256" applyNumberFormat="1" applyFont="1" applyBorder="1" applyAlignment="1">
      <alignment vertical="center"/>
    </xf>
    <xf numFmtId="0" fontId="106" fillId="0" borderId="0" xfId="256" applyFont="1" applyAlignment="1">
      <alignment vertical="center"/>
    </xf>
    <xf numFmtId="0" fontId="86" fillId="0" borderId="0" xfId="256" applyFont="1" applyAlignment="1">
      <alignment vertical="center"/>
    </xf>
    <xf numFmtId="2" fontId="91" fillId="0" borderId="7" xfId="256" applyNumberFormat="1" applyFont="1" applyBorder="1" applyAlignment="1">
      <alignment horizontal="right" vertical="center"/>
    </xf>
    <xf numFmtId="2" fontId="106" fillId="0" borderId="7" xfId="256" applyNumberFormat="1" applyFont="1" applyBorder="1" applyAlignment="1">
      <alignment horizontal="right" vertical="center"/>
    </xf>
    <xf numFmtId="0" fontId="86" fillId="30" borderId="0" xfId="256" applyFont="1" applyFill="1" applyAlignment="1">
      <alignment vertical="center"/>
    </xf>
    <xf numFmtId="0" fontId="91" fillId="30" borderId="0" xfId="256" applyFont="1" applyFill="1" applyAlignment="1">
      <alignment vertical="center"/>
    </xf>
    <xf numFmtId="0" fontId="104" fillId="0" borderId="0" xfId="256" applyFont="1" applyAlignment="1">
      <alignment horizontal="center" vertical="center"/>
    </xf>
    <xf numFmtId="0" fontId="105" fillId="0" borderId="0" xfId="256" applyFont="1" applyAlignment="1">
      <alignment horizontal="center" vertical="center"/>
    </xf>
    <xf numFmtId="0" fontId="79" fillId="0" borderId="31" xfId="190" applyFont="1" applyBorder="1" applyAlignment="1">
      <alignment horizontal="center" vertical="center" wrapText="1"/>
    </xf>
    <xf numFmtId="0" fontId="79" fillId="0" borderId="34" xfId="190" applyFont="1" applyBorder="1" applyAlignment="1">
      <alignment horizontal="center" vertical="center" wrapText="1"/>
    </xf>
    <xf numFmtId="0" fontId="79" fillId="0" borderId="32" xfId="248" applyFont="1" applyBorder="1" applyAlignment="1">
      <alignment horizontal="center" vertical="center" wrapText="1"/>
    </xf>
    <xf numFmtId="0" fontId="79" fillId="0" borderId="28" xfId="248" applyFont="1" applyBorder="1" applyAlignment="1">
      <alignment horizontal="center" vertical="center" wrapText="1"/>
    </xf>
    <xf numFmtId="170" fontId="79" fillId="0" borderId="0" xfId="0" applyNumberFormat="1" applyFont="1" applyAlignment="1">
      <alignment horizontal="center" vertical="center"/>
    </xf>
    <xf numFmtId="170" fontId="6" fillId="0" borderId="21" xfId="0" applyNumberFormat="1" applyFont="1" applyBorder="1" applyAlignment="1">
      <alignment horizontal="center"/>
    </xf>
    <xf numFmtId="170" fontId="79" fillId="0" borderId="32" xfId="0" applyNumberFormat="1" applyFont="1" applyBorder="1" applyAlignment="1">
      <alignment horizontal="center" vertical="center"/>
    </xf>
    <xf numFmtId="0" fontId="79" fillId="0" borderId="32" xfId="0" applyFont="1" applyBorder="1" applyAlignment="1">
      <alignment horizontal="center"/>
    </xf>
    <xf numFmtId="0" fontId="79" fillId="0" borderId="33" xfId="0" applyFont="1" applyBorder="1" applyAlignment="1">
      <alignment horizontal="center"/>
    </xf>
    <xf numFmtId="0" fontId="79" fillId="26" borderId="7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3" fontId="85" fillId="0" borderId="0" xfId="0" applyNumberFormat="1" applyFont="1" applyAlignment="1">
      <alignment horizontal="center"/>
    </xf>
    <xf numFmtId="0" fontId="5" fillId="0" borderId="21" xfId="0" applyFont="1" applyBorder="1" applyAlignment="1">
      <alignment horizontal="left"/>
    </xf>
    <xf numFmtId="0" fontId="85" fillId="0" borderId="21" xfId="0" applyFont="1" applyBorder="1" applyAlignment="1">
      <alignment horizontal="left"/>
    </xf>
    <xf numFmtId="0" fontId="79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3" fontId="91" fillId="0" borderId="7" xfId="257" applyNumberFormat="1" applyFont="1" applyFill="1" applyBorder="1" applyAlignment="1">
      <alignment horizontal="center" vertical="center" wrapText="1"/>
    </xf>
    <xf numFmtId="0" fontId="91" fillId="0" borderId="7" xfId="256" applyFont="1" applyBorder="1" applyAlignment="1">
      <alignment horizontal="center" vertical="center"/>
    </xf>
    <xf numFmtId="0" fontId="91" fillId="0" borderId="7" xfId="256" applyFont="1" applyBorder="1" applyAlignment="1">
      <alignment horizontal="center" vertical="center" wrapText="1"/>
    </xf>
    <xf numFmtId="0" fontId="86" fillId="0" borderId="7" xfId="256" applyFont="1" applyBorder="1" applyAlignment="1">
      <alignment horizontal="center" vertical="center"/>
    </xf>
    <xf numFmtId="49" fontId="86" fillId="0" borderId="7" xfId="256" applyNumberFormat="1" applyFont="1" applyBorder="1" applyAlignment="1">
      <alignment horizontal="left" vertical="center" wrapText="1"/>
    </xf>
    <xf numFmtId="173" fontId="86" fillId="0" borderId="7" xfId="256" applyNumberFormat="1" applyFont="1" applyBorder="1" applyAlignment="1">
      <alignment horizontal="center" vertical="center"/>
    </xf>
    <xf numFmtId="2" fontId="86" fillId="0" borderId="7" xfId="256" applyNumberFormat="1" applyFont="1" applyBorder="1" applyAlignment="1">
      <alignment horizontal="right" vertical="center"/>
    </xf>
    <xf numFmtId="43" fontId="86" fillId="0" borderId="7" xfId="256" applyNumberFormat="1" applyFont="1" applyBorder="1" applyAlignment="1">
      <alignment horizontal="right" vertical="center"/>
    </xf>
    <xf numFmtId="43" fontId="91" fillId="0" borderId="7" xfId="256" applyNumberFormat="1" applyFont="1" applyBorder="1" applyAlignment="1">
      <alignment horizontal="center" vertical="center" wrapText="1"/>
    </xf>
    <xf numFmtId="173" fontId="91" fillId="0" borderId="7" xfId="256" applyNumberFormat="1" applyFont="1" applyBorder="1" applyAlignment="1">
      <alignment horizontal="center" vertical="center"/>
    </xf>
    <xf numFmtId="43" fontId="91" fillId="0" borderId="7" xfId="256" applyNumberFormat="1" applyFont="1" applyBorder="1" applyAlignment="1">
      <alignment horizontal="center" vertical="center"/>
    </xf>
    <xf numFmtId="173" fontId="106" fillId="0" borderId="7" xfId="256" applyNumberFormat="1" applyFont="1" applyBorder="1" applyAlignment="1">
      <alignment horizontal="center" vertical="center"/>
    </xf>
    <xf numFmtId="192" fontId="91" fillId="0" borderId="7" xfId="256" applyNumberFormat="1" applyFont="1" applyBorder="1" applyAlignment="1">
      <alignment vertical="center"/>
    </xf>
    <xf numFmtId="2" fontId="91" fillId="0" borderId="7" xfId="256" applyNumberFormat="1" applyFont="1" applyBorder="1" applyAlignment="1">
      <alignment vertical="center"/>
    </xf>
    <xf numFmtId="2" fontId="86" fillId="0" borderId="7" xfId="257" applyNumberFormat="1" applyFont="1" applyBorder="1" applyAlignment="1">
      <alignment horizontal="right" vertical="center"/>
    </xf>
    <xf numFmtId="0" fontId="106" fillId="0" borderId="7" xfId="256" applyFont="1" applyBorder="1" applyAlignment="1">
      <alignment horizontal="center" vertical="center"/>
    </xf>
    <xf numFmtId="1" fontId="86" fillId="0" borderId="7" xfId="256" applyNumberFormat="1" applyFont="1" applyBorder="1" applyAlignment="1">
      <alignment horizontal="right" vertical="center"/>
    </xf>
    <xf numFmtId="43" fontId="91" fillId="0" borderId="7" xfId="257" applyFont="1" applyBorder="1" applyAlignment="1">
      <alignment horizontal="center" vertical="center"/>
    </xf>
    <xf numFmtId="0" fontId="86" fillId="30" borderId="7" xfId="256" applyFont="1" applyFill="1" applyBorder="1" applyAlignment="1">
      <alignment horizontal="center" vertical="center"/>
    </xf>
    <xf numFmtId="43" fontId="86" fillId="30" borderId="7" xfId="257" applyFont="1" applyFill="1" applyBorder="1" applyAlignment="1">
      <alignment horizontal="center" vertical="center"/>
    </xf>
    <xf numFmtId="0" fontId="86" fillId="30" borderId="7" xfId="256" applyFont="1" applyFill="1" applyBorder="1" applyAlignment="1">
      <alignment horizontal="right" vertical="center"/>
    </xf>
    <xf numFmtId="39" fontId="86" fillId="30" borderId="7" xfId="256" applyNumberFormat="1" applyFont="1" applyFill="1" applyBorder="1" applyAlignment="1">
      <alignment horizontal="right" vertical="center"/>
    </xf>
    <xf numFmtId="43" fontId="91" fillId="30" borderId="7" xfId="256" applyNumberFormat="1" applyFont="1" applyFill="1" applyBorder="1" applyAlignment="1">
      <alignment horizontal="center" vertical="center" wrapText="1"/>
    </xf>
    <xf numFmtId="197" fontId="91" fillId="30" borderId="7" xfId="257" applyNumberFormat="1" applyFont="1" applyFill="1" applyBorder="1" applyAlignment="1">
      <alignment horizontal="center" vertical="center"/>
    </xf>
    <xf numFmtId="43" fontId="91" fillId="30" borderId="7" xfId="256" applyNumberFormat="1" applyFont="1" applyFill="1" applyBorder="1" applyAlignment="1">
      <alignment horizontal="center" vertical="center"/>
    </xf>
    <xf numFmtId="0" fontId="91" fillId="30" borderId="7" xfId="256" applyFont="1" applyFill="1" applyBorder="1" applyAlignment="1">
      <alignment horizontal="center" vertical="center"/>
    </xf>
    <xf numFmtId="197" fontId="91" fillId="0" borderId="7" xfId="256" applyNumberFormat="1" applyFont="1" applyBorder="1" applyAlignment="1">
      <alignment horizontal="center" vertical="center"/>
    </xf>
    <xf numFmtId="173" fontId="91" fillId="0" borderId="7" xfId="256" applyNumberFormat="1" applyFont="1" applyBorder="1" applyAlignment="1">
      <alignment horizontal="center" vertical="center" wrapText="1"/>
    </xf>
    <xf numFmtId="0" fontId="91" fillId="0" borderId="7" xfId="256" applyFont="1" applyBorder="1" applyAlignment="1">
      <alignment horizontal="center" vertical="center" wrapText="1"/>
    </xf>
    <xf numFmtId="197" fontId="91" fillId="0" borderId="7" xfId="256" applyNumberFormat="1" applyFont="1" applyBorder="1" applyAlignment="1">
      <alignment horizontal="right" vertical="center"/>
    </xf>
    <xf numFmtId="0" fontId="91" fillId="0" borderId="7" xfId="256" applyFont="1" applyBorder="1" applyAlignment="1">
      <alignment horizontal="center" vertical="center"/>
    </xf>
    <xf numFmtId="49" fontId="86" fillId="0" borderId="7" xfId="256" applyNumberFormat="1" applyFont="1" applyBorder="1" applyAlignment="1">
      <alignment horizontal="left" vertical="center"/>
    </xf>
    <xf numFmtId="43" fontId="86" fillId="0" borderId="7" xfId="256" applyNumberFormat="1" applyFont="1" applyBorder="1" applyAlignment="1">
      <alignment horizontal="center" vertical="center" wrapText="1"/>
    </xf>
    <xf numFmtId="43" fontId="86" fillId="0" borderId="7" xfId="257" applyFont="1" applyBorder="1" applyAlignment="1">
      <alignment horizontal="right" vertical="center" wrapText="1"/>
    </xf>
    <xf numFmtId="43" fontId="86" fillId="0" borderId="7" xfId="257" applyFont="1" applyBorder="1" applyAlignment="1">
      <alignment horizontal="center" vertical="center" wrapText="1"/>
    </xf>
    <xf numFmtId="49" fontId="91" fillId="0" borderId="7" xfId="256" applyNumberFormat="1" applyFont="1" applyBorder="1" applyAlignment="1">
      <alignment horizontal="left" vertical="center"/>
    </xf>
    <xf numFmtId="43" fontId="91" fillId="0" borderId="7" xfId="256" applyNumberFormat="1" applyFont="1" applyBorder="1" applyAlignment="1">
      <alignment horizontal="center" vertical="center"/>
    </xf>
    <xf numFmtId="43" fontId="91" fillId="0" borderId="7" xfId="254" applyFont="1" applyBorder="1" applyAlignment="1">
      <alignment horizontal="center" vertical="center"/>
    </xf>
    <xf numFmtId="43" fontId="91" fillId="0" borderId="7" xfId="254" applyFont="1" applyBorder="1" applyAlignment="1">
      <alignment horizontal="right" vertical="center"/>
    </xf>
    <xf numFmtId="49" fontId="106" fillId="0" borderId="7" xfId="256" applyNumberFormat="1" applyFont="1" applyBorder="1" applyAlignment="1">
      <alignment horizontal="left" vertical="center"/>
    </xf>
    <xf numFmtId="43" fontId="106" fillId="0" borderId="7" xfId="256" applyNumberFormat="1" applyFont="1" applyBorder="1" applyAlignment="1">
      <alignment horizontal="center" vertical="center"/>
    </xf>
    <xf numFmtId="43" fontId="106" fillId="0" borderId="7" xfId="254" applyFont="1" applyBorder="1" applyAlignment="1">
      <alignment horizontal="center" vertical="center"/>
    </xf>
    <xf numFmtId="197" fontId="86" fillId="0" borderId="7" xfId="257" applyNumberFormat="1" applyFont="1" applyBorder="1" applyAlignment="1">
      <alignment horizontal="right" vertical="center"/>
    </xf>
    <xf numFmtId="197" fontId="106" fillId="0" borderId="7" xfId="256" applyNumberFormat="1" applyFont="1" applyBorder="1" applyAlignment="1">
      <alignment horizontal="center" vertical="center"/>
    </xf>
    <xf numFmtId="1" fontId="86" fillId="0" borderId="7" xfId="256" applyNumberFormat="1" applyFont="1" applyBorder="1" applyAlignment="1">
      <alignment vertical="center"/>
    </xf>
    <xf numFmtId="49" fontId="86" fillId="30" borderId="7" xfId="256" applyNumberFormat="1" applyFont="1" applyFill="1" applyBorder="1" applyAlignment="1">
      <alignment horizontal="left" vertical="center"/>
    </xf>
    <xf numFmtId="49" fontId="86" fillId="30" borderId="7" xfId="256" applyNumberFormat="1" applyFont="1" applyFill="1" applyBorder="1" applyAlignment="1">
      <alignment horizontal="center" vertical="center"/>
    </xf>
    <xf numFmtId="49" fontId="91" fillId="30" borderId="7" xfId="256" applyNumberFormat="1" applyFont="1" applyFill="1" applyBorder="1" applyAlignment="1">
      <alignment horizontal="left" vertical="center"/>
    </xf>
    <xf numFmtId="49" fontId="91" fillId="30" borderId="7" xfId="256" applyNumberFormat="1" applyFont="1" applyFill="1" applyBorder="1" applyAlignment="1">
      <alignment horizontal="center" vertical="center"/>
    </xf>
    <xf numFmtId="0" fontId="91" fillId="30" borderId="7" xfId="256" applyFont="1" applyFill="1" applyBorder="1" applyAlignment="1">
      <alignment horizontal="right" vertical="center"/>
    </xf>
    <xf numFmtId="3" fontId="91" fillId="30" borderId="7" xfId="256" applyNumberFormat="1" applyFont="1" applyFill="1" applyBorder="1" applyAlignment="1">
      <alignment horizontal="right" vertical="center"/>
    </xf>
    <xf numFmtId="2" fontId="91" fillId="30" borderId="7" xfId="256" applyNumberFormat="1" applyFont="1" applyFill="1" applyBorder="1" applyAlignment="1">
      <alignment horizontal="right" vertical="center"/>
    </xf>
    <xf numFmtId="43" fontId="91" fillId="0" borderId="7" xfId="257" applyNumberFormat="1" applyFont="1" applyBorder="1" applyAlignment="1">
      <alignment horizontal="center" vertical="center" wrapText="1"/>
    </xf>
    <xf numFmtId="2" fontId="106" fillId="0" borderId="7" xfId="256" applyNumberFormat="1" applyFont="1" applyBorder="1" applyAlignment="1">
      <alignment vertical="center"/>
    </xf>
    <xf numFmtId="197" fontId="86" fillId="30" borderId="7" xfId="257" applyNumberFormat="1" applyFont="1" applyFill="1" applyBorder="1" applyAlignment="1">
      <alignment horizontal="right" vertical="center"/>
    </xf>
    <xf numFmtId="198" fontId="86" fillId="30" borderId="7" xfId="256" applyNumberFormat="1" applyFont="1" applyFill="1" applyBorder="1" applyAlignment="1">
      <alignment horizontal="right" vertical="center"/>
    </xf>
    <xf numFmtId="173" fontId="86" fillId="0" borderId="7" xfId="257" applyNumberFormat="1" applyFont="1" applyBorder="1" applyAlignment="1">
      <alignment horizontal="right" vertical="center" wrapText="1"/>
    </xf>
    <xf numFmtId="173" fontId="86" fillId="0" borderId="7" xfId="257" applyNumberFormat="1" applyFont="1" applyBorder="1" applyAlignment="1">
      <alignment horizontal="center" vertical="center" wrapText="1"/>
    </xf>
    <xf numFmtId="43" fontId="86" fillId="0" borderId="7" xfId="257" applyNumberFormat="1" applyFont="1" applyBorder="1" applyAlignment="1">
      <alignment horizontal="right" vertical="center" wrapText="1"/>
    </xf>
    <xf numFmtId="0" fontId="86" fillId="0" borderId="37" xfId="256" applyFont="1" applyBorder="1" applyAlignment="1">
      <alignment horizontal="center" vertical="center" wrapText="1"/>
    </xf>
    <xf numFmtId="49" fontId="86" fillId="0" borderId="37" xfId="256" applyNumberFormat="1" applyFont="1" applyBorder="1" applyAlignment="1">
      <alignment horizontal="center" vertical="center" wrapText="1"/>
    </xf>
    <xf numFmtId="2" fontId="86" fillId="0" borderId="37" xfId="256" applyNumberFormat="1" applyFont="1" applyBorder="1" applyAlignment="1">
      <alignment horizontal="center" vertical="center" wrapText="1"/>
    </xf>
    <xf numFmtId="0" fontId="86" fillId="0" borderId="38" xfId="256" applyFont="1" applyBorder="1" applyAlignment="1">
      <alignment horizontal="center" vertical="center" wrapText="1"/>
    </xf>
    <xf numFmtId="0" fontId="86" fillId="0" borderId="4" xfId="256" applyFont="1" applyBorder="1" applyAlignment="1">
      <alignment horizontal="center" vertical="center" wrapText="1"/>
    </xf>
    <xf numFmtId="0" fontId="86" fillId="0" borderId="22" xfId="256" applyFont="1" applyBorder="1" applyAlignment="1">
      <alignment horizontal="center" vertical="center" wrapText="1"/>
    </xf>
    <xf numFmtId="0" fontId="86" fillId="0" borderId="16" xfId="256" applyFont="1" applyBorder="1" applyAlignment="1">
      <alignment horizontal="center" vertical="center" wrapText="1"/>
    </xf>
    <xf numFmtId="0" fontId="86" fillId="0" borderId="7" xfId="256" applyFont="1" applyBorder="1" applyAlignment="1">
      <alignment horizontal="center" vertical="center" wrapText="1"/>
    </xf>
    <xf numFmtId="0" fontId="91" fillId="0" borderId="39" xfId="256" applyFont="1" applyBorder="1" applyAlignment="1">
      <alignment horizontal="center" vertical="center"/>
    </xf>
    <xf numFmtId="49" fontId="91" fillId="0" borderId="39" xfId="256" applyNumberFormat="1" applyFont="1" applyBorder="1"/>
    <xf numFmtId="0" fontId="91" fillId="0" borderId="39" xfId="256" applyFont="1" applyBorder="1"/>
    <xf numFmtId="2" fontId="91" fillId="0" borderId="39" xfId="256" applyNumberFormat="1" applyFont="1" applyBorder="1" applyAlignment="1">
      <alignment horizontal="center" vertical="center"/>
    </xf>
    <xf numFmtId="0" fontId="86" fillId="0" borderId="16" xfId="256" applyFont="1" applyBorder="1" applyAlignment="1">
      <alignment horizontal="center" vertical="center" wrapText="1"/>
    </xf>
    <xf numFmtId="0" fontId="86" fillId="0" borderId="15" xfId="256" applyFont="1" applyBorder="1" applyAlignment="1">
      <alignment horizontal="center" vertical="center" wrapText="1"/>
    </xf>
    <xf numFmtId="0" fontId="86" fillId="0" borderId="7" xfId="256" applyFont="1" applyBorder="1" applyAlignment="1">
      <alignment horizontal="center" vertical="center" wrapText="1"/>
    </xf>
    <xf numFmtId="49" fontId="86" fillId="0" borderId="7" xfId="256" applyNumberFormat="1" applyFont="1" applyBorder="1" applyAlignment="1">
      <alignment horizontal="justify" vertical="center" wrapText="1"/>
    </xf>
    <xf numFmtId="0" fontId="108" fillId="0" borderId="0" xfId="256" applyFont="1" applyAlignment="1">
      <alignment vertical="center"/>
    </xf>
    <xf numFmtId="49" fontId="91" fillId="0" borderId="7" xfId="256" quotePrefix="1" applyNumberFormat="1" applyFont="1" applyBorder="1" applyAlignment="1">
      <alignment horizontal="justify" vertical="center" wrapText="1"/>
    </xf>
    <xf numFmtId="0" fontId="106" fillId="0" borderId="7" xfId="256" applyFont="1" applyBorder="1" applyAlignment="1">
      <alignment horizontal="center" vertical="center" wrapText="1"/>
    </xf>
    <xf numFmtId="0" fontId="109" fillId="0" borderId="0" xfId="256" applyFont="1" applyAlignment="1">
      <alignment vertical="center"/>
    </xf>
    <xf numFmtId="43" fontId="6" fillId="30" borderId="7" xfId="252" applyFont="1" applyFill="1" applyBorder="1" applyAlignment="1">
      <alignment horizontal="left" vertical="center"/>
    </xf>
    <xf numFmtId="43" fontId="86" fillId="0" borderId="7" xfId="257" applyNumberFormat="1" applyFont="1" applyBorder="1" applyAlignment="1">
      <alignment horizontal="center" vertical="center" wrapText="1"/>
    </xf>
    <xf numFmtId="1" fontId="86" fillId="0" borderId="7" xfId="256" applyNumberFormat="1" applyFont="1" applyBorder="1" applyAlignment="1">
      <alignment horizontal="center" vertical="center" wrapText="1"/>
    </xf>
  </cellXfs>
  <cellStyles count="258">
    <cellStyle name="%KH" xfId="1" xr:uid="{00000000-0005-0000-0000-000000000000}"/>
    <cellStyle name="??" xfId="2" xr:uid="{00000000-0005-0000-0000-000001000000}"/>
    <cellStyle name="?? [0.00]_PRODUCT DETAIL Q1" xfId="3" xr:uid="{00000000-0005-0000-0000-000002000000}"/>
    <cellStyle name="?? [0]" xfId="4" xr:uid="{00000000-0005-0000-0000-000003000000}"/>
    <cellStyle name="???? [0.00]_PRODUCT DETAIL Q1" xfId="5" xr:uid="{00000000-0005-0000-0000-000004000000}"/>
    <cellStyle name="????_PRODUCT DETAIL Q1" xfId="6" xr:uid="{00000000-0005-0000-0000-000005000000}"/>
    <cellStyle name="???_HOBONG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_KT (2)" xfId="10" xr:uid="{00000000-0005-0000-0000-000009000000}"/>
    <cellStyle name="_KT (2)_1" xfId="11" xr:uid="{00000000-0005-0000-0000-00000A000000}"/>
    <cellStyle name="_KT (2)_2" xfId="12" xr:uid="{00000000-0005-0000-0000-00000B000000}"/>
    <cellStyle name="_KT (2)_2_TG-TH" xfId="13" xr:uid="{00000000-0005-0000-0000-00000C000000}"/>
    <cellStyle name="_KT (2)_3" xfId="14" xr:uid="{00000000-0005-0000-0000-00000D000000}"/>
    <cellStyle name="_KT (2)_3_TG-TH" xfId="15" xr:uid="{00000000-0005-0000-0000-00000E000000}"/>
    <cellStyle name="_KT (2)_3_TG-TH_PMPC THCS 1.0 ( version 1 )" xfId="16" xr:uid="{00000000-0005-0000-0000-00000F000000}"/>
    <cellStyle name="_KT (2)_4" xfId="17" xr:uid="{00000000-0005-0000-0000-000010000000}"/>
    <cellStyle name="_KT (2)_4_TG-TH" xfId="18" xr:uid="{00000000-0005-0000-0000-000011000000}"/>
    <cellStyle name="_KT (2)_5" xfId="19" xr:uid="{00000000-0005-0000-0000-000012000000}"/>
    <cellStyle name="_KT (2)_PMPC THCS 1.0 ( version 1 )" xfId="20" xr:uid="{00000000-0005-0000-0000-000013000000}"/>
    <cellStyle name="_KT (2)_TG-TH" xfId="21" xr:uid="{00000000-0005-0000-0000-000014000000}"/>
    <cellStyle name="_KT_TG" xfId="22" xr:uid="{00000000-0005-0000-0000-000015000000}"/>
    <cellStyle name="_KT_TG_1" xfId="23" xr:uid="{00000000-0005-0000-0000-000016000000}"/>
    <cellStyle name="_KT_TG_2" xfId="24" xr:uid="{00000000-0005-0000-0000-000017000000}"/>
    <cellStyle name="_KT_TG_3" xfId="25" xr:uid="{00000000-0005-0000-0000-000018000000}"/>
    <cellStyle name="_KT_TG_4" xfId="26" xr:uid="{00000000-0005-0000-0000-000019000000}"/>
    <cellStyle name="_PMPC THCS 1.0 ( version 1 )" xfId="27" xr:uid="{00000000-0005-0000-0000-00001A000000}"/>
    <cellStyle name="_TG-TH" xfId="28" xr:uid="{00000000-0005-0000-0000-00001B000000}"/>
    <cellStyle name="_TG-TH_1" xfId="29" xr:uid="{00000000-0005-0000-0000-00001C000000}"/>
    <cellStyle name="_TG-TH_2" xfId="30" xr:uid="{00000000-0005-0000-0000-00001D000000}"/>
    <cellStyle name="_TG-TH_3" xfId="31" xr:uid="{00000000-0005-0000-0000-00001E000000}"/>
    <cellStyle name="_TG-TH_4" xfId="32" xr:uid="{00000000-0005-0000-0000-00001F000000}"/>
    <cellStyle name="20% - Accent1" xfId="33" builtinId="30" customBuiltin="1"/>
    <cellStyle name="20% - Accent1 2" xfId="34" xr:uid="{00000000-0005-0000-0000-000021000000}"/>
    <cellStyle name="20% - Accent2" xfId="35" builtinId="34" customBuiltin="1"/>
    <cellStyle name="20% - Accent2 2" xfId="36" xr:uid="{00000000-0005-0000-0000-000023000000}"/>
    <cellStyle name="20% - Accent3" xfId="37" builtinId="38" customBuiltin="1"/>
    <cellStyle name="20% - Accent3 2" xfId="38" xr:uid="{00000000-0005-0000-0000-000025000000}"/>
    <cellStyle name="20% - Accent4" xfId="39" builtinId="42" customBuiltin="1"/>
    <cellStyle name="20% - Accent4 2" xfId="40" xr:uid="{00000000-0005-0000-0000-000027000000}"/>
    <cellStyle name="20% - Accent5" xfId="41" builtinId="46" customBuiltin="1"/>
    <cellStyle name="20% - Accent5 2" xfId="42" xr:uid="{00000000-0005-0000-0000-000029000000}"/>
    <cellStyle name="20% - Accent6" xfId="43" builtinId="50" customBuiltin="1"/>
    <cellStyle name="20% - Accent6 2" xfId="44" xr:uid="{00000000-0005-0000-0000-00002B000000}"/>
    <cellStyle name="40% - Accent1" xfId="45" builtinId="31" customBuiltin="1"/>
    <cellStyle name="40% - Accent1 2" xfId="46" xr:uid="{00000000-0005-0000-0000-00002D000000}"/>
    <cellStyle name="40% - Accent2" xfId="47" builtinId="35" customBuiltin="1"/>
    <cellStyle name="40% - Accent2 2" xfId="48" xr:uid="{00000000-0005-0000-0000-00002F000000}"/>
    <cellStyle name="40% - Accent3" xfId="49" builtinId="39" customBuiltin="1"/>
    <cellStyle name="40% - Accent3 2" xfId="50" xr:uid="{00000000-0005-0000-0000-000031000000}"/>
    <cellStyle name="40% - Accent4" xfId="51" builtinId="43" customBuiltin="1"/>
    <cellStyle name="40% - Accent4 2" xfId="52" xr:uid="{00000000-0005-0000-0000-000033000000}"/>
    <cellStyle name="40% - Accent5" xfId="53" builtinId="47" customBuiltin="1"/>
    <cellStyle name="40% - Accent5 2" xfId="54" xr:uid="{00000000-0005-0000-0000-000035000000}"/>
    <cellStyle name="40% - Accent6" xfId="55" builtinId="51" customBuiltin="1"/>
    <cellStyle name="40% - Accent6 2" xfId="56" xr:uid="{00000000-0005-0000-0000-000037000000}"/>
    <cellStyle name="60% - Accent1" xfId="57" builtinId="32" customBuiltin="1"/>
    <cellStyle name="60% - Accent1 2" xfId="58" xr:uid="{00000000-0005-0000-0000-000039000000}"/>
    <cellStyle name="60% - Accent2" xfId="59" builtinId="36" customBuiltin="1"/>
    <cellStyle name="60% - Accent2 2" xfId="60" xr:uid="{00000000-0005-0000-0000-00003B000000}"/>
    <cellStyle name="60% - Accent3" xfId="61" builtinId="40" customBuiltin="1"/>
    <cellStyle name="60% - Accent3 2" xfId="62" xr:uid="{00000000-0005-0000-0000-00003D000000}"/>
    <cellStyle name="60% - Accent4" xfId="63" builtinId="44" customBuiltin="1"/>
    <cellStyle name="60% - Accent4 2" xfId="64" xr:uid="{00000000-0005-0000-0000-00003F000000}"/>
    <cellStyle name="60% - Accent5" xfId="65" builtinId="48" customBuiltin="1"/>
    <cellStyle name="60% - Accent5 2" xfId="66" xr:uid="{00000000-0005-0000-0000-000041000000}"/>
    <cellStyle name="60% - Accent6" xfId="67" builtinId="52" customBuiltin="1"/>
    <cellStyle name="60% - Accent6 2" xfId="68" xr:uid="{00000000-0005-0000-0000-000043000000}"/>
    <cellStyle name="Accent1" xfId="69" builtinId="29" customBuiltin="1"/>
    <cellStyle name="Accent1 2" xfId="70" xr:uid="{00000000-0005-0000-0000-000045000000}"/>
    <cellStyle name="Accent2" xfId="71" builtinId="33" customBuiltin="1"/>
    <cellStyle name="Accent2 2" xfId="72" xr:uid="{00000000-0005-0000-0000-000047000000}"/>
    <cellStyle name="Accent3" xfId="73" builtinId="37" customBuiltin="1"/>
    <cellStyle name="Accent3 2" xfId="74" xr:uid="{00000000-0005-0000-0000-000049000000}"/>
    <cellStyle name="Accent4" xfId="75" builtinId="41" customBuiltin="1"/>
    <cellStyle name="Accent4 2" xfId="76" xr:uid="{00000000-0005-0000-0000-00004B000000}"/>
    <cellStyle name="Accent5" xfId="77" builtinId="45" customBuiltin="1"/>
    <cellStyle name="Accent5 2" xfId="78" xr:uid="{00000000-0005-0000-0000-00004D000000}"/>
    <cellStyle name="Accent6" xfId="79" builtinId="49" customBuiltin="1"/>
    <cellStyle name="Accent6 2" xfId="80" xr:uid="{00000000-0005-0000-0000-00004F000000}"/>
    <cellStyle name="AeE­ [0]_INQUIRY ¿μ¾÷AßAø " xfId="81" xr:uid="{00000000-0005-0000-0000-000050000000}"/>
    <cellStyle name="ÅëÈ­_      " xfId="82" xr:uid="{00000000-0005-0000-0000-000051000000}"/>
    <cellStyle name="AeE­_INQUIRY ¿μ¾÷AßAø " xfId="83" xr:uid="{00000000-0005-0000-0000-000052000000}"/>
    <cellStyle name="ÄÞ¸¶ [0]_      " xfId="84" xr:uid="{00000000-0005-0000-0000-000053000000}"/>
    <cellStyle name="AÞ¸¶ [0]_INQUIRY ¿?¾÷AßAø " xfId="85" xr:uid="{00000000-0005-0000-0000-000054000000}"/>
    <cellStyle name="ÄÞ¸¶_      " xfId="86" xr:uid="{00000000-0005-0000-0000-000055000000}"/>
    <cellStyle name="AÞ¸¶_INQUIRY ¿?¾÷AßAø " xfId="87" xr:uid="{00000000-0005-0000-0000-000056000000}"/>
    <cellStyle name="AutoFormat Options" xfId="88" xr:uid="{00000000-0005-0000-0000-000057000000}"/>
    <cellStyle name="Bad" xfId="89" builtinId="27" customBuiltin="1"/>
    <cellStyle name="Bad 2" xfId="90" xr:uid="{00000000-0005-0000-0000-000059000000}"/>
    <cellStyle name="C?AØ_¿?¾÷CoE² " xfId="91" xr:uid="{00000000-0005-0000-0000-00005A000000}"/>
    <cellStyle name="Ç¥ÁØ_      " xfId="92" xr:uid="{00000000-0005-0000-0000-00005B000000}"/>
    <cellStyle name="C￥AØ_¿μ¾÷CoE² " xfId="93" xr:uid="{00000000-0005-0000-0000-00005C000000}"/>
    <cellStyle name="Calculation" xfId="94" builtinId="22" customBuiltin="1"/>
    <cellStyle name="Calculation 2" xfId="95" xr:uid="{00000000-0005-0000-0000-00005E000000}"/>
    <cellStyle name="category" xfId="96" xr:uid="{00000000-0005-0000-0000-00005F000000}"/>
    <cellStyle name="Check Cell" xfId="106" builtinId="23" customBuiltin="1"/>
    <cellStyle name="Check Cell 2" xfId="107" xr:uid="{00000000-0005-0000-0000-00006D000000}"/>
    <cellStyle name="Comma" xfId="254" builtinId="3"/>
    <cellStyle name="Comma 13" xfId="255" xr:uid="{DA54D7DF-20FD-4FF7-ABA1-84EFA3A8E0A8}"/>
    <cellStyle name="Comma 15" xfId="250" xr:uid="{BCE94DEA-C5B3-4498-BE38-82E588CED916}"/>
    <cellStyle name="Comma 2" xfId="97" xr:uid="{00000000-0005-0000-0000-000061000000}"/>
    <cellStyle name="Comma 2 2" xfId="98" xr:uid="{00000000-0005-0000-0000-000062000000}"/>
    <cellStyle name="Comma 2 2 2" xfId="253" xr:uid="{7580C1EF-0442-4EB2-8BBD-23C752BBA0EF}"/>
    <cellStyle name="Comma 3" xfId="99" xr:uid="{00000000-0005-0000-0000-000063000000}"/>
    <cellStyle name="Comma 3 2" xfId="252" xr:uid="{5F6109F7-0BC6-4376-A0E7-48B4998256A2}"/>
    <cellStyle name="Comma 4" xfId="100" xr:uid="{00000000-0005-0000-0000-000064000000}"/>
    <cellStyle name="Comma 5" xfId="245" xr:uid="{00000000-0005-0000-0000-000065000000}"/>
    <cellStyle name="Comma 6" xfId="257" xr:uid="{02B1DA65-580F-4266-97FB-EA16622336DD}"/>
    <cellStyle name="Comma0" xfId="101" xr:uid="{00000000-0005-0000-0000-000066000000}"/>
    <cellStyle name="Currency 2" xfId="102" xr:uid="{00000000-0005-0000-0000-000067000000}"/>
    <cellStyle name="Currency 2 2" xfId="103" xr:uid="{00000000-0005-0000-0000-000068000000}"/>
    <cellStyle name="Currency0" xfId="104" xr:uid="{00000000-0005-0000-0000-000069000000}"/>
    <cellStyle name="Currency0 2" xfId="105" xr:uid="{00000000-0005-0000-0000-00006A000000}"/>
    <cellStyle name="Currency0 3" xfId="246" xr:uid="{00000000-0005-0000-0000-00006B000000}"/>
    <cellStyle name="Date" xfId="108" xr:uid="{00000000-0005-0000-0000-00006E000000}"/>
    <cellStyle name="Dong" xfId="109" xr:uid="{00000000-0005-0000-0000-00006F000000}"/>
    <cellStyle name="Explanatory Text" xfId="110" builtinId="53" customBuiltin="1"/>
    <cellStyle name="Explanatory Text 2" xfId="111" xr:uid="{00000000-0005-0000-0000-000071000000}"/>
    <cellStyle name="Fixed" xfId="112" xr:uid="{00000000-0005-0000-0000-000072000000}"/>
    <cellStyle name="Good" xfId="113" builtinId="26" customBuiltin="1"/>
    <cellStyle name="Good 2" xfId="114" xr:uid="{00000000-0005-0000-0000-000074000000}"/>
    <cellStyle name="Grey" xfId="115" xr:uid="{00000000-0005-0000-0000-000075000000}"/>
    <cellStyle name="HEADER" xfId="116" xr:uid="{00000000-0005-0000-0000-000076000000}"/>
    <cellStyle name="Header1" xfId="117" xr:uid="{00000000-0005-0000-0000-000077000000}"/>
    <cellStyle name="Header2" xfId="118" xr:uid="{00000000-0005-0000-0000-000078000000}"/>
    <cellStyle name="Heading 1" xfId="119" builtinId="16" customBuiltin="1"/>
    <cellStyle name="Heading 2" xfId="120" builtinId="17" customBuiltin="1"/>
    <cellStyle name="Heading 3" xfId="121" builtinId="18" customBuiltin="1"/>
    <cellStyle name="Heading 3 2" xfId="122" xr:uid="{00000000-0005-0000-0000-00007C000000}"/>
    <cellStyle name="Heading 4" xfId="123" builtinId="19" customBuiltin="1"/>
    <cellStyle name="Heading 4 2" xfId="124" xr:uid="{00000000-0005-0000-0000-00007E000000}"/>
    <cellStyle name="Hoa-Scholl" xfId="125" xr:uid="{00000000-0005-0000-0000-00007F000000}"/>
    <cellStyle name="Input" xfId="126" builtinId="20" customBuiltin="1"/>
    <cellStyle name="Input [yellow]" xfId="127" xr:uid="{00000000-0005-0000-0000-000081000000}"/>
    <cellStyle name="Input 2" xfId="128" xr:uid="{00000000-0005-0000-0000-000082000000}"/>
    <cellStyle name="Input 3" xfId="129" xr:uid="{00000000-0005-0000-0000-000083000000}"/>
    <cellStyle name="Input 4" xfId="130" xr:uid="{00000000-0005-0000-0000-000084000000}"/>
    <cellStyle name="Input 5" xfId="131" xr:uid="{00000000-0005-0000-0000-000085000000}"/>
    <cellStyle name="Linked Cell" xfId="132" builtinId="24" customBuiltin="1"/>
    <cellStyle name="Linked Cell 2" xfId="133" xr:uid="{00000000-0005-0000-0000-000087000000}"/>
    <cellStyle name="Milliers [0]_      " xfId="134" xr:uid="{00000000-0005-0000-0000-000088000000}"/>
    <cellStyle name="Milliers_      " xfId="135" xr:uid="{00000000-0005-0000-0000-000089000000}"/>
    <cellStyle name="Model" xfId="136" xr:uid="{00000000-0005-0000-0000-00008A000000}"/>
    <cellStyle name="moi" xfId="137" xr:uid="{00000000-0005-0000-0000-00008B000000}"/>
    <cellStyle name="Monétaire [0]_      " xfId="138" xr:uid="{00000000-0005-0000-0000-00008C000000}"/>
    <cellStyle name="Monétaire_      " xfId="139" xr:uid="{00000000-0005-0000-0000-00008D000000}"/>
    <cellStyle name="n" xfId="140" xr:uid="{00000000-0005-0000-0000-00008E000000}"/>
    <cellStyle name="Neutral" xfId="141" builtinId="28" customBuiltin="1"/>
    <cellStyle name="Neutral 2" xfId="142" xr:uid="{00000000-0005-0000-0000-000090000000}"/>
    <cellStyle name="Normal" xfId="0" builtinId="0"/>
    <cellStyle name="Normal - Style1" xfId="143" xr:uid="{00000000-0005-0000-0000-000092000000}"/>
    <cellStyle name="Normal 10" xfId="144" xr:uid="{00000000-0005-0000-0000-000093000000}"/>
    <cellStyle name="Normal 10 2" xfId="145" xr:uid="{00000000-0005-0000-0000-000094000000}"/>
    <cellStyle name="Normal 11" xfId="146" xr:uid="{00000000-0005-0000-0000-000095000000}"/>
    <cellStyle name="Normal 11 2" xfId="147" xr:uid="{00000000-0005-0000-0000-000096000000}"/>
    <cellStyle name="Normal 12" xfId="148" xr:uid="{00000000-0005-0000-0000-000097000000}"/>
    <cellStyle name="Normal 12 2" xfId="149" xr:uid="{00000000-0005-0000-0000-000098000000}"/>
    <cellStyle name="Normal 13" xfId="150" xr:uid="{00000000-0005-0000-0000-000099000000}"/>
    <cellStyle name="Normal 13 2" xfId="151" xr:uid="{00000000-0005-0000-0000-00009A000000}"/>
    <cellStyle name="Normal 14" xfId="152" xr:uid="{00000000-0005-0000-0000-00009B000000}"/>
    <cellStyle name="Normal 14 2" xfId="153" xr:uid="{00000000-0005-0000-0000-00009C000000}"/>
    <cellStyle name="Normal 15" xfId="154" xr:uid="{00000000-0005-0000-0000-00009D000000}"/>
    <cellStyle name="Normal 16" xfId="155" xr:uid="{00000000-0005-0000-0000-00009E000000}"/>
    <cellStyle name="Normal 17" xfId="156" xr:uid="{00000000-0005-0000-0000-00009F000000}"/>
    <cellStyle name="Normal 18" xfId="157" xr:uid="{00000000-0005-0000-0000-0000A0000000}"/>
    <cellStyle name="Normal 19" xfId="158" xr:uid="{00000000-0005-0000-0000-0000A1000000}"/>
    <cellStyle name="Normal 2" xfId="159" xr:uid="{00000000-0005-0000-0000-0000A2000000}"/>
    <cellStyle name="Normal 2 2" xfId="160" xr:uid="{00000000-0005-0000-0000-0000A3000000}"/>
    <cellStyle name="Normal 20" xfId="161" xr:uid="{00000000-0005-0000-0000-0000A4000000}"/>
    <cellStyle name="Normal 20 2" xfId="162" xr:uid="{00000000-0005-0000-0000-0000A5000000}"/>
    <cellStyle name="Normal 21" xfId="163" xr:uid="{00000000-0005-0000-0000-0000A6000000}"/>
    <cellStyle name="Normal 22" xfId="164" xr:uid="{00000000-0005-0000-0000-0000A7000000}"/>
    <cellStyle name="Normal 23" xfId="165" xr:uid="{00000000-0005-0000-0000-0000A8000000}"/>
    <cellStyle name="Normal 24" xfId="166" xr:uid="{00000000-0005-0000-0000-0000A9000000}"/>
    <cellStyle name="Normal 25" xfId="167" xr:uid="{00000000-0005-0000-0000-0000AA000000}"/>
    <cellStyle name="Normal 26" xfId="168" xr:uid="{00000000-0005-0000-0000-0000AB000000}"/>
    <cellStyle name="Normal 27" xfId="169" xr:uid="{00000000-0005-0000-0000-0000AC000000}"/>
    <cellStyle name="Normal 28" xfId="170" xr:uid="{00000000-0005-0000-0000-0000AD000000}"/>
    <cellStyle name="Normal 29" xfId="171" xr:uid="{00000000-0005-0000-0000-0000AE000000}"/>
    <cellStyle name="Normal 3" xfId="172" xr:uid="{00000000-0005-0000-0000-0000AF000000}"/>
    <cellStyle name="Normal 3 2" xfId="173" xr:uid="{00000000-0005-0000-0000-0000B0000000}"/>
    <cellStyle name="Normal 3 3" xfId="251" xr:uid="{7494269B-DAA4-411F-9863-9FC638983B84}"/>
    <cellStyle name="Normal 30" xfId="174" xr:uid="{00000000-0005-0000-0000-0000B1000000}"/>
    <cellStyle name="Normal 31" xfId="175" xr:uid="{00000000-0005-0000-0000-0000B2000000}"/>
    <cellStyle name="Normal 32" xfId="176" xr:uid="{00000000-0005-0000-0000-0000B3000000}"/>
    <cellStyle name="Normal 33" xfId="177" xr:uid="{00000000-0005-0000-0000-0000B4000000}"/>
    <cellStyle name="Normal 34" xfId="256" xr:uid="{1DB23F0C-23CB-4231-805C-C88F4E16B304}"/>
    <cellStyle name="Normal 4" xfId="178" xr:uid="{00000000-0005-0000-0000-0000B5000000}"/>
    <cellStyle name="Normal 4 2" xfId="179" xr:uid="{00000000-0005-0000-0000-0000B6000000}"/>
    <cellStyle name="Normal 5" xfId="180" xr:uid="{00000000-0005-0000-0000-0000B7000000}"/>
    <cellStyle name="Normal 5 2" xfId="181" xr:uid="{00000000-0005-0000-0000-0000B8000000}"/>
    <cellStyle name="Normal 6" xfId="182" xr:uid="{00000000-0005-0000-0000-0000B9000000}"/>
    <cellStyle name="Normal 6 2" xfId="183" xr:uid="{00000000-0005-0000-0000-0000BA000000}"/>
    <cellStyle name="Normal 7" xfId="184" xr:uid="{00000000-0005-0000-0000-0000BB000000}"/>
    <cellStyle name="Normal 7 2" xfId="185" xr:uid="{00000000-0005-0000-0000-0000BC000000}"/>
    <cellStyle name="Normal 8" xfId="186" xr:uid="{00000000-0005-0000-0000-0000BD000000}"/>
    <cellStyle name="Normal 8 2" xfId="187" xr:uid="{00000000-0005-0000-0000-0000BE000000}"/>
    <cellStyle name="Normal 9" xfId="188" xr:uid="{00000000-0005-0000-0000-0000BF000000}"/>
    <cellStyle name="Normal 9 2" xfId="189" xr:uid="{00000000-0005-0000-0000-0000C0000000}"/>
    <cellStyle name="Normal_DŨNG BAO CAO (UBND- HDND) KTXH NAM 2010- 2011" xfId="248" xr:uid="{840EABF7-1556-4195-AF57-BE55015A8017}"/>
    <cellStyle name="Normal_huy KQSX nam2006" xfId="249" xr:uid="{A0FCF54A-1DFB-4605-B45F-32ED8A5A8A35}"/>
    <cellStyle name="Normal_KHKTXH2008-HDNDHuyen" xfId="247" xr:uid="{00000000-0005-0000-0000-0000C2000000}"/>
    <cellStyle name="Normal_KHKTXH2009 đã chỉnh sửa" xfId="190" xr:uid="{00000000-0005-0000-0000-0000C3000000}"/>
    <cellStyle name="Note" xfId="191" builtinId="10" customBuiltin="1"/>
    <cellStyle name="Note 2" xfId="192" xr:uid="{00000000-0005-0000-0000-0000C6000000}"/>
    <cellStyle name="Note 2 2" xfId="193" xr:uid="{00000000-0005-0000-0000-0000C7000000}"/>
    <cellStyle name="Note 3" xfId="194" xr:uid="{00000000-0005-0000-0000-0000C8000000}"/>
    <cellStyle name="Output" xfId="195" builtinId="21" customBuiltin="1"/>
    <cellStyle name="Output 2" xfId="196" xr:uid="{00000000-0005-0000-0000-0000CA000000}"/>
    <cellStyle name="Percent [2]" xfId="197" xr:uid="{00000000-0005-0000-0000-0000CB000000}"/>
    <cellStyle name="Percent [2] 2" xfId="198" xr:uid="{00000000-0005-0000-0000-0000CC000000}"/>
    <cellStyle name="PERCENTAGE" xfId="199" xr:uid="{00000000-0005-0000-0000-0000CD000000}"/>
    <cellStyle name="Style 1" xfId="200" xr:uid="{00000000-0005-0000-0000-0000CE000000}"/>
    <cellStyle name="Style 1 2" xfId="201" xr:uid="{00000000-0005-0000-0000-0000CF000000}"/>
    <cellStyle name="Style 2" xfId="202" xr:uid="{00000000-0005-0000-0000-0000D0000000}"/>
    <cellStyle name="subhead" xfId="203" xr:uid="{00000000-0005-0000-0000-0000D1000000}"/>
    <cellStyle name="Title" xfId="204" builtinId="15" customBuiltin="1"/>
    <cellStyle name="Title 2" xfId="205" xr:uid="{00000000-0005-0000-0000-0000D3000000}"/>
    <cellStyle name="Total" xfId="206" builtinId="25" customBuiltin="1"/>
    <cellStyle name="Trieudong" xfId="207" xr:uid="{00000000-0005-0000-0000-0000D5000000}"/>
    <cellStyle name="vnhead1" xfId="210" xr:uid="{00000000-0005-0000-0000-0000D8000000}"/>
    <cellStyle name="vnhead3" xfId="211" xr:uid="{00000000-0005-0000-0000-0000D9000000}"/>
    <cellStyle name="vntxt1" xfId="208" xr:uid="{00000000-0005-0000-0000-0000D6000000}"/>
    <cellStyle name="vntxt2" xfId="209" xr:uid="{00000000-0005-0000-0000-0000D7000000}"/>
    <cellStyle name="Warning Text" xfId="212" builtinId="11" customBuiltin="1"/>
    <cellStyle name="Warning Text 2" xfId="213" xr:uid="{00000000-0005-0000-0000-0000DB000000}"/>
    <cellStyle name=" [0.00]_ Att. 1- Cover" xfId="214" xr:uid="{00000000-0005-0000-0000-0000DC000000}"/>
    <cellStyle name="_ Att. 1- Cover" xfId="215" xr:uid="{00000000-0005-0000-0000-0000DD000000}"/>
    <cellStyle name="?_ Att. 1- Cover" xfId="216" xr:uid="{00000000-0005-0000-0000-0000DE000000}"/>
    <cellStyle name="똿뗦먛귟 [0.00]_PRODUCT DETAIL Q1" xfId="217" xr:uid="{00000000-0005-0000-0000-0000DF000000}"/>
    <cellStyle name="똿뗦먛귟_PRODUCT DETAIL Q1" xfId="218" xr:uid="{00000000-0005-0000-0000-0000E0000000}"/>
    <cellStyle name="믅됞 [0.00]_PRODUCT DETAIL Q1" xfId="219" xr:uid="{00000000-0005-0000-0000-0000E1000000}"/>
    <cellStyle name="믅됞_PRODUCT DETAIL Q1" xfId="220" xr:uid="{00000000-0005-0000-0000-0000E2000000}"/>
    <cellStyle name="백분율_95" xfId="221" xr:uid="{00000000-0005-0000-0000-0000E3000000}"/>
    <cellStyle name="뷭?_BOOKSHIP" xfId="222" xr:uid="{00000000-0005-0000-0000-0000E4000000}"/>
    <cellStyle name="콤마 [0]_1202" xfId="223" xr:uid="{00000000-0005-0000-0000-0000E5000000}"/>
    <cellStyle name="콤마_1202" xfId="224" xr:uid="{00000000-0005-0000-0000-0000E6000000}"/>
    <cellStyle name="통화 [0]_1202" xfId="225" xr:uid="{00000000-0005-0000-0000-0000E7000000}"/>
    <cellStyle name="통화_1202" xfId="226" xr:uid="{00000000-0005-0000-0000-0000E8000000}"/>
    <cellStyle name="표준_(정보부문)월별인원계획" xfId="227" xr:uid="{00000000-0005-0000-0000-0000E9000000}"/>
    <cellStyle name="一般_00Q3902REV.1" xfId="228" xr:uid="{00000000-0005-0000-0000-0000EA000000}"/>
    <cellStyle name="千分位[0]_00Q3902REV.1" xfId="229" xr:uid="{00000000-0005-0000-0000-0000EB000000}"/>
    <cellStyle name="千分位_00Q3902REV.1" xfId="230" xr:uid="{00000000-0005-0000-0000-0000EC000000}"/>
    <cellStyle name="貨幣 [0]_00Q3902REV.1" xfId="231" xr:uid="{00000000-0005-0000-0000-0000ED000000}"/>
    <cellStyle name="貨幣[0]_BRE" xfId="232" xr:uid="{00000000-0005-0000-0000-0000EE000000}"/>
    <cellStyle name="貨幣_00Q3902REV.1" xfId="233" xr:uid="{00000000-0005-0000-0000-0000EF000000}"/>
    <cellStyle name="㼀㼿" xfId="234" xr:uid="{00000000-0005-0000-0000-0000F0000000}"/>
    <cellStyle name="㼿" xfId="235" xr:uid="{00000000-0005-0000-0000-0000F1000000}"/>
    <cellStyle name="㼿?" xfId="236" xr:uid="{00000000-0005-0000-0000-0000F2000000}"/>
    <cellStyle name="㼿㼿" xfId="237" xr:uid="{00000000-0005-0000-0000-0000F3000000}"/>
    <cellStyle name="㼿㼿?" xfId="238" xr:uid="{00000000-0005-0000-0000-0000F4000000}"/>
    <cellStyle name="㼿㼿㼿" xfId="239" xr:uid="{00000000-0005-0000-0000-0000F5000000}"/>
    <cellStyle name="㼿㼿㼿㼿" xfId="240" xr:uid="{00000000-0005-0000-0000-0000F6000000}"/>
    <cellStyle name="㼿㼿㼿㼿㼿" xfId="241" xr:uid="{00000000-0005-0000-0000-0000F7000000}"/>
    <cellStyle name="㼿㼿㼿㼿㼿?" xfId="242" xr:uid="{00000000-0005-0000-0000-0000F8000000}"/>
    <cellStyle name="㼿㼿㼿㼿㼿㼿㼿" xfId="243" xr:uid="{00000000-0005-0000-0000-0000F9000000}"/>
    <cellStyle name="㼿㼿㼿㼿㼿㼿㼿?" xfId="244" xr:uid="{00000000-0005-0000-0000-0000F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L%20C&#432;&#7901;ng\Ph&#242;ng%20KT%20c&#7845;p%20x&#227;\BC%206%20th&#225;ng%20&#273;&#7847;u%20n&#259;m\S&#7889;%20li&#7879;u%20BC%206%20th&#225;n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L%20C&#432;&#7901;ng\Ph&#242;ng%20KT%20c&#7845;p%20x&#227;\BC%206%20th&#225;ng%20&#273;&#7847;u%20n&#259;m\Tong%20dien%20tich%20tu%20nhien%20cua%20xa%20CU%20Pui_moi%20tinh%20den%2001_7_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116(300)"/>
      <sheetName val="116(200)"/>
      <sheetName val="116(150)"/>
      <sheetName val="00000000"/>
      <sheetName val="MD"/>
      <sheetName val="ND"/>
      <sheetName val="CONG"/>
      <sheetName val="DGCT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1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Chart2"/>
      <sheetName val="Chi tiet - Dv lap"/>
      <sheetName val="TH KHTC"/>
      <sheetName val="000"/>
      <sheetName val="be tong"/>
      <sheetName val="Thep"/>
      <sheetName val="Tong hop thep"/>
      <sheetName val="BC_KKTSCD"/>
      <sheetName val="Chitiet"/>
      <sheetName val="Sheet2 (2)"/>
      <sheetName val="Mau_BC_KKTSCD"/>
      <sheetName val="KH 2003 (moi max)"/>
      <sheetName val="Congty"/>
      <sheetName val="VPPN"/>
      <sheetName val="XN74"/>
      <sheetName val="XN54"/>
      <sheetName val="XN33"/>
      <sheetName val="NK96"/>
      <sheetName val="XL4Test5"/>
      <sheetName val="KH12"/>
      <sheetName val="CN12"/>
      <sheetName val="HD12"/>
      <sheetName val="KH1"/>
      <sheetName val="Dong Dau"/>
      <sheetName val="Dong Dau (2)"/>
      <sheetName val="Sau dong"/>
      <sheetName val="Ma xa"/>
      <sheetName val="My dinh"/>
      <sheetName val="Tong cong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CHIT"/>
      <sheetName val="THXH"/>
      <sheetName val="BHXH"/>
      <sheetName val="DT"/>
      <sheetName val="THND"/>
      <sheetName val="THMD"/>
      <sheetName val="Phtro1"/>
      <sheetName val="DTKS1"/>
      <sheetName val="CT1m"/>
      <sheetName val="Q1-02"/>
      <sheetName val="Q2-02"/>
      <sheetName val="Q3-02"/>
      <sheetName val="Thep "/>
      <sheetName val="Chi tiet Khoi luong"/>
      <sheetName val="TH khoi luong"/>
      <sheetName val="Chiet tinh vat lieu "/>
      <sheetName val="TH KL VL"/>
      <sheetName val="VL"/>
      <sheetName val="CTXD"/>
      <sheetName val=".."/>
      <sheetName val="CTDN"/>
      <sheetName val="san vuon"/>
      <sheetName val="khu phu tro"/>
      <sheetName val="Thuyet minh"/>
      <sheetName val="CQ-HQ"/>
      <sheetName val="Phu luc"/>
      <sheetName val="Gia trÞ"/>
      <sheetName val="cd viaK0-T6"/>
      <sheetName val="cdvia T6-Tc24"/>
      <sheetName val="cdvia Tc24-T46"/>
      <sheetName val="cdbtnL2ko-k0+361"/>
      <sheetName val="cd btnL2k0+361-T19"/>
      <sheetName val="Sheet17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Sheet13"/>
      <sheetName val="Sheet14"/>
      <sheetName val="Sheet15"/>
      <sheetName val="Sheet16"/>
      <sheetName val="01"/>
      <sheetName val="02"/>
      <sheetName val="03"/>
      <sheetName val="04"/>
      <sheetName val="05"/>
      <sheetName val="Sheet18"/>
      <sheetName val="Sheet19"/>
      <sheetName val="Sheet20"/>
      <sheetName val="CT Duong"/>
      <sheetName val="Bia"/>
      <sheetName val="D.gia"/>
    </sheetNames>
    <definedNames>
      <definedName name="DataFilter"/>
      <definedName name="DataSort"/>
      <definedName name="GoBack" sheetId="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ngatang"/>
      <sheetName val="vụ ĐX"/>
      <sheetName val="vụ HT"/>
      <sheetName val="vụ TĐ"/>
      <sheetName val="tổng cây"/>
      <sheetName val="Sheet1"/>
      <sheetName val="giá trị"/>
      <sheetName val="cây lâu năm"/>
      <sheetName val="chăn nuôi"/>
      <sheetName val="tổng hợp"/>
      <sheetName val="CTPTKT"/>
    </sheetNames>
    <sheetDataSet>
      <sheetData sheetId="0"/>
      <sheetData sheetId="1"/>
      <sheetData sheetId="2">
        <row r="7">
          <cell r="J7">
            <v>0</v>
          </cell>
        </row>
      </sheetData>
      <sheetData sheetId="3"/>
      <sheetData sheetId="4">
        <row r="6">
          <cell r="C6">
            <v>4433.7</v>
          </cell>
        </row>
        <row r="7">
          <cell r="E7">
            <v>7580</v>
          </cell>
        </row>
        <row r="9">
          <cell r="C9">
            <v>1276</v>
          </cell>
        </row>
        <row r="10">
          <cell r="C10">
            <v>749</v>
          </cell>
          <cell r="F10">
            <v>749</v>
          </cell>
          <cell r="G10">
            <v>75.967957276368494</v>
          </cell>
          <cell r="H10">
            <v>5690</v>
          </cell>
          <cell r="I10">
            <v>0</v>
          </cell>
          <cell r="K10">
            <v>0</v>
          </cell>
        </row>
        <row r="11">
          <cell r="C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C12">
            <v>315</v>
          </cell>
          <cell r="D12">
            <v>60</v>
          </cell>
          <cell r="E12">
            <v>1890</v>
          </cell>
        </row>
        <row r="13">
          <cell r="C13">
            <v>0</v>
          </cell>
          <cell r="D13" t="e">
            <v>#DIV/0!</v>
          </cell>
          <cell r="E13">
            <v>0</v>
          </cell>
        </row>
        <row r="14">
          <cell r="C14">
            <v>0</v>
          </cell>
          <cell r="D14" t="e">
            <v>#DIV/0!</v>
          </cell>
          <cell r="E14">
            <v>0</v>
          </cell>
        </row>
        <row r="15">
          <cell r="C15">
            <v>0</v>
          </cell>
          <cell r="D15" t="e">
            <v>#DIV/0!</v>
          </cell>
          <cell r="E15">
            <v>0</v>
          </cell>
        </row>
        <row r="17">
          <cell r="C17">
            <v>40</v>
          </cell>
          <cell r="D17">
            <v>54</v>
          </cell>
          <cell r="E17">
            <v>216</v>
          </cell>
        </row>
        <row r="18">
          <cell r="C18">
            <v>7</v>
          </cell>
          <cell r="D18">
            <v>0</v>
          </cell>
          <cell r="E18">
            <v>0</v>
          </cell>
        </row>
        <row r="19">
          <cell r="C19">
            <v>0</v>
          </cell>
          <cell r="D19" t="e">
            <v>#DIV/0!</v>
          </cell>
          <cell r="E19">
            <v>0</v>
          </cell>
        </row>
        <row r="20">
          <cell r="C20">
            <v>85</v>
          </cell>
          <cell r="D20">
            <v>273.88235294117646</v>
          </cell>
          <cell r="E20">
            <v>2328</v>
          </cell>
        </row>
        <row r="21">
          <cell r="C21">
            <v>10</v>
          </cell>
          <cell r="D21">
            <v>0</v>
          </cell>
          <cell r="E21">
            <v>0</v>
          </cell>
        </row>
        <row r="22">
          <cell r="C22">
            <v>0</v>
          </cell>
          <cell r="D22" t="e">
            <v>#DIV/0!</v>
          </cell>
          <cell r="E22">
            <v>0</v>
          </cell>
        </row>
        <row r="28">
          <cell r="C28">
            <v>2001</v>
          </cell>
        </row>
        <row r="29">
          <cell r="D29">
            <v>18</v>
          </cell>
          <cell r="E29">
            <v>4371.3999999999996</v>
          </cell>
        </row>
        <row r="30">
          <cell r="C30">
            <v>671</v>
          </cell>
        </row>
        <row r="31">
          <cell r="D31">
            <v>8</v>
          </cell>
          <cell r="E31">
            <v>520.79999999999995</v>
          </cell>
        </row>
        <row r="33">
          <cell r="E33">
            <v>47.739999999999995</v>
          </cell>
          <cell r="I33">
            <v>21.7</v>
          </cell>
          <cell r="J33">
            <v>220</v>
          </cell>
        </row>
        <row r="34">
          <cell r="C34">
            <v>0</v>
          </cell>
        </row>
        <row r="35">
          <cell r="D35">
            <v>0</v>
          </cell>
          <cell r="E35">
            <v>0</v>
          </cell>
        </row>
        <row r="36">
          <cell r="C36">
            <v>7</v>
          </cell>
        </row>
        <row r="37">
          <cell r="D37">
            <v>70</v>
          </cell>
          <cell r="E37">
            <v>0</v>
          </cell>
        </row>
        <row r="38">
          <cell r="C38">
            <v>75</v>
          </cell>
          <cell r="D38">
            <v>340</v>
          </cell>
          <cell r="E38">
            <v>2550</v>
          </cell>
        </row>
        <row r="41">
          <cell r="C41">
            <v>108</v>
          </cell>
          <cell r="D41">
            <v>0</v>
          </cell>
        </row>
        <row r="43">
          <cell r="C43">
            <v>313</v>
          </cell>
        </row>
        <row r="44">
          <cell r="D44">
            <v>180</v>
          </cell>
          <cell r="E44">
            <v>2970</v>
          </cell>
        </row>
      </sheetData>
      <sheetData sheetId="5"/>
      <sheetData sheetId="6">
        <row r="8">
          <cell r="G8">
            <v>199075.72001999995</v>
          </cell>
          <cell r="H8">
            <v>395112.07999999996</v>
          </cell>
        </row>
        <row r="53">
          <cell r="G53">
            <v>80152.621240752007</v>
          </cell>
          <cell r="H53">
            <v>110988.98535999999</v>
          </cell>
        </row>
        <row r="81">
          <cell r="G81">
            <v>11852.392499999998</v>
          </cell>
          <cell r="H81">
            <v>14032.84</v>
          </cell>
        </row>
        <row r="90">
          <cell r="G90">
            <v>53022.528962099997</v>
          </cell>
          <cell r="H90">
            <v>52518.296000000002</v>
          </cell>
        </row>
        <row r="101">
          <cell r="G101">
            <v>8092</v>
          </cell>
          <cell r="H101">
            <v>11560</v>
          </cell>
        </row>
      </sheetData>
      <sheetData sheetId="7"/>
      <sheetData sheetId="8">
        <row r="8">
          <cell r="F8">
            <v>700</v>
          </cell>
          <cell r="H8">
            <v>6140</v>
          </cell>
          <cell r="J8">
            <v>6090</v>
          </cell>
          <cell r="L8">
            <v>1545</v>
          </cell>
          <cell r="N8">
            <v>41152</v>
          </cell>
        </row>
        <row r="15">
          <cell r="D15">
            <v>1906.726312</v>
          </cell>
        </row>
        <row r="16">
          <cell r="N16">
            <v>925.92</v>
          </cell>
        </row>
      </sheetData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_TKKK"/>
      <sheetName val="02_TKKK"/>
      <sheetName val="03_TKKK"/>
      <sheetName val="04_TKKK"/>
      <sheetName val="05_TKKK"/>
      <sheetName val="06_TKKK"/>
    </sheetNames>
    <sheetDataSet>
      <sheetData sheetId="0" refreshError="1">
        <row r="10">
          <cell r="D10">
            <v>31319.77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67" zoomScaleSheetLayoutView="4" workbookViewId="0"/>
  </sheetViews>
  <sheetFormatPr defaultRowHeight="17.399999999999999"/>
  <sheetData/>
  <phoneticPr fontId="3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0E49E-3B4E-4C4E-8B0A-1B030583AF15}">
  <dimension ref="A1:M867"/>
  <sheetViews>
    <sheetView zoomScale="115" zoomScaleNormal="115" workbookViewId="0">
      <selection activeCell="F7" sqref="F7"/>
    </sheetView>
  </sheetViews>
  <sheetFormatPr defaultColWidth="10" defaultRowHeight="13.2"/>
  <cols>
    <col min="1" max="1" width="2.765625" style="256" customWidth="1"/>
    <col min="2" max="2" width="28.84375" style="247" customWidth="1"/>
    <col min="3" max="3" width="5.921875" style="245" customWidth="1"/>
    <col min="4" max="4" width="6.921875" style="248" customWidth="1"/>
    <col min="5" max="6" width="6" style="245" customWidth="1"/>
    <col min="7" max="7" width="6.15234375" style="245" customWidth="1"/>
    <col min="8" max="8" width="6.3046875" style="245" customWidth="1"/>
    <col min="9" max="9" width="6.07421875" style="245" customWidth="1"/>
    <col min="10" max="10" width="6.23046875" style="245" customWidth="1"/>
    <col min="11" max="11" width="6.3046875" style="245" customWidth="1"/>
    <col min="12" max="12" width="6.23046875" style="245" customWidth="1"/>
    <col min="13" max="13" width="9.15234375" style="249" customWidth="1"/>
    <col min="14" max="15" width="6.15234375" style="245" customWidth="1"/>
    <col min="16" max="16384" width="10" style="245"/>
  </cols>
  <sheetData>
    <row r="1" spans="1:13" ht="20.399999999999999" customHeight="1">
      <c r="A1" s="269" t="s">
        <v>252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3" ht="21.6" customHeight="1">
      <c r="A2" s="269" t="s">
        <v>310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</row>
    <row r="3" spans="1:13" ht="22.8" customHeight="1">
      <c r="A3" s="270" t="s">
        <v>303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</row>
    <row r="4" spans="1:13" ht="15.6" customHeight="1">
      <c r="A4" s="246"/>
    </row>
    <row r="5" spans="1:13" ht="16.95" customHeight="1">
      <c r="A5" s="346" t="s">
        <v>21</v>
      </c>
      <c r="B5" s="347" t="s">
        <v>2</v>
      </c>
      <c r="C5" s="346" t="s">
        <v>253</v>
      </c>
      <c r="D5" s="348" t="s">
        <v>254</v>
      </c>
      <c r="E5" s="346" t="s">
        <v>255</v>
      </c>
      <c r="F5" s="349" t="s">
        <v>256</v>
      </c>
      <c r="G5" s="350"/>
      <c r="H5" s="350"/>
      <c r="I5" s="350"/>
      <c r="J5" s="350"/>
      <c r="K5" s="351"/>
      <c r="L5" s="352" t="s">
        <v>296</v>
      </c>
      <c r="M5" s="353" t="s">
        <v>257</v>
      </c>
    </row>
    <row r="6" spans="1:13" ht="50.4" customHeight="1">
      <c r="A6" s="354"/>
      <c r="B6" s="355"/>
      <c r="C6" s="356"/>
      <c r="D6" s="357"/>
      <c r="E6" s="356"/>
      <c r="F6" s="358" t="s">
        <v>258</v>
      </c>
      <c r="G6" s="358" t="s">
        <v>292</v>
      </c>
      <c r="H6" s="358" t="s">
        <v>291</v>
      </c>
      <c r="I6" s="358" t="s">
        <v>293</v>
      </c>
      <c r="J6" s="358" t="s">
        <v>294</v>
      </c>
      <c r="K6" s="358" t="s">
        <v>295</v>
      </c>
      <c r="L6" s="359"/>
      <c r="M6" s="352"/>
    </row>
    <row r="7" spans="1:13" s="249" customFormat="1" ht="31.8" customHeight="1">
      <c r="A7" s="290">
        <v>1</v>
      </c>
      <c r="B7" s="291" t="s">
        <v>304</v>
      </c>
      <c r="C7" s="292" t="s">
        <v>7</v>
      </c>
      <c r="D7" s="293">
        <f>D8+D9+D12</f>
        <v>466.80000000000007</v>
      </c>
      <c r="E7" s="294">
        <f t="shared" ref="E7:L7" si="0">E8+E9+E12</f>
        <v>513.5</v>
      </c>
      <c r="F7" s="294">
        <f t="shared" si="0"/>
        <v>106.71991999999999</v>
      </c>
      <c r="G7" s="294">
        <f t="shared" si="0"/>
        <v>156.35425599999999</v>
      </c>
      <c r="H7" s="294">
        <f t="shared" si="0"/>
        <v>263.07417599999997</v>
      </c>
      <c r="I7" s="294">
        <f t="shared" si="0"/>
        <v>127.96383600000001</v>
      </c>
      <c r="J7" s="294">
        <f t="shared" si="0"/>
        <v>391.03801200000004</v>
      </c>
      <c r="K7" s="294">
        <f t="shared" si="0"/>
        <v>122.46198799999998</v>
      </c>
      <c r="L7" s="294">
        <f t="shared" si="0"/>
        <v>513.5</v>
      </c>
      <c r="M7" s="295" t="s">
        <v>259</v>
      </c>
    </row>
    <row r="8" spans="1:13" s="249" customFormat="1" ht="19.2" customHeight="1">
      <c r="A8" s="296"/>
      <c r="B8" s="322" t="s">
        <v>260</v>
      </c>
      <c r="C8" s="296" t="s">
        <v>7</v>
      </c>
      <c r="D8" s="265">
        <v>336.1</v>
      </c>
      <c r="E8" s="265">
        <v>361.5</v>
      </c>
      <c r="F8" s="265">
        <f>E8*18%</f>
        <v>65.069999999999993</v>
      </c>
      <c r="G8" s="265">
        <f>E8*32.12%</f>
        <v>116.1138</v>
      </c>
      <c r="H8" s="323">
        <f>F8+G8</f>
        <v>181.18379999999999</v>
      </c>
      <c r="I8" s="300">
        <f>E8*24.34%</f>
        <v>87.989100000000008</v>
      </c>
      <c r="J8" s="300">
        <f>H8+I8</f>
        <v>269.17290000000003</v>
      </c>
      <c r="K8" s="300">
        <f>E8-J8</f>
        <v>92.327099999999973</v>
      </c>
      <c r="L8" s="261">
        <f>J8+K8</f>
        <v>361.5</v>
      </c>
      <c r="M8" s="297"/>
    </row>
    <row r="9" spans="1:13" s="249" customFormat="1" ht="19.2" customHeight="1">
      <c r="A9" s="296"/>
      <c r="B9" s="322" t="s">
        <v>261</v>
      </c>
      <c r="C9" s="296" t="s">
        <v>7</v>
      </c>
      <c r="D9" s="265">
        <f>D10+D11</f>
        <v>45.6</v>
      </c>
      <c r="E9" s="265">
        <v>50.8</v>
      </c>
      <c r="F9" s="265">
        <f>F10+F11</f>
        <v>9.2659199999999995</v>
      </c>
      <c r="G9" s="265">
        <f>G10+G11</f>
        <v>14.727935999999996</v>
      </c>
      <c r="H9" s="265">
        <f t="shared" ref="H9:L9" si="1">H10+H11</f>
        <v>23.993855999999997</v>
      </c>
      <c r="I9" s="265">
        <f t="shared" si="1"/>
        <v>15.352775999999999</v>
      </c>
      <c r="J9" s="265">
        <f t="shared" si="1"/>
        <v>39.346632</v>
      </c>
      <c r="K9" s="265">
        <f t="shared" si="1"/>
        <v>11.453367999999999</v>
      </c>
      <c r="L9" s="265">
        <f t="shared" si="1"/>
        <v>50.8</v>
      </c>
      <c r="M9" s="297"/>
    </row>
    <row r="10" spans="1:13" s="263" customFormat="1" ht="19.2" customHeight="1">
      <c r="A10" s="298"/>
      <c r="B10" s="326" t="s">
        <v>262</v>
      </c>
      <c r="C10" s="298" t="s">
        <v>7</v>
      </c>
      <c r="D10" s="266">
        <v>13.68</v>
      </c>
      <c r="E10" s="266">
        <f>E9*30/100</f>
        <v>15.24</v>
      </c>
      <c r="F10" s="266">
        <f>E10*25.8%</f>
        <v>3.9319200000000003</v>
      </c>
      <c r="G10" s="266">
        <f>E10*28.25%</f>
        <v>4.3052999999999999</v>
      </c>
      <c r="H10" s="327">
        <f>F10+G10</f>
        <v>8.2372200000000007</v>
      </c>
      <c r="I10" s="340">
        <f>E10*23.46%</f>
        <v>3.575304</v>
      </c>
      <c r="J10" s="340">
        <f>H10+I10</f>
        <v>11.812524</v>
      </c>
      <c r="K10" s="340">
        <f>E10-J10</f>
        <v>3.4274760000000004</v>
      </c>
      <c r="L10" s="262">
        <f t="shared" ref="L10:L12" si="2">J10+K10</f>
        <v>15.24</v>
      </c>
      <c r="M10" s="297"/>
    </row>
    <row r="11" spans="1:13" s="263" customFormat="1" ht="19.2" customHeight="1">
      <c r="A11" s="298"/>
      <c r="B11" s="326" t="s">
        <v>263</v>
      </c>
      <c r="C11" s="298" t="s">
        <v>7</v>
      </c>
      <c r="D11" s="266">
        <f>45.6-D10</f>
        <v>31.92</v>
      </c>
      <c r="E11" s="266">
        <f>50.8-E10</f>
        <v>35.559999999999995</v>
      </c>
      <c r="F11" s="266">
        <f>E11*15%</f>
        <v>5.3339999999999987</v>
      </c>
      <c r="G11" s="266">
        <f>E11*29.31%</f>
        <v>10.422635999999997</v>
      </c>
      <c r="H11" s="327">
        <f>F11+G11</f>
        <v>15.756635999999997</v>
      </c>
      <c r="I11" s="340">
        <f>E11*33.12%</f>
        <v>11.777471999999998</v>
      </c>
      <c r="J11" s="340">
        <f>H11+I11</f>
        <v>27.534107999999996</v>
      </c>
      <c r="K11" s="340">
        <f>E11-J11</f>
        <v>8.0258919999999989</v>
      </c>
      <c r="L11" s="262">
        <f t="shared" si="2"/>
        <v>35.559999999999995</v>
      </c>
      <c r="M11" s="297"/>
    </row>
    <row r="12" spans="1:13" s="249" customFormat="1" ht="19.2" customHeight="1">
      <c r="A12" s="288"/>
      <c r="B12" s="322" t="s">
        <v>264</v>
      </c>
      <c r="C12" s="313" t="s">
        <v>7</v>
      </c>
      <c r="D12" s="265">
        <v>85.1</v>
      </c>
      <c r="E12" s="265">
        <v>101.2</v>
      </c>
      <c r="F12" s="299">
        <f>E12*32%</f>
        <v>32.384</v>
      </c>
      <c r="G12" s="300">
        <f>E12*25.21%</f>
        <v>25.512519999999999</v>
      </c>
      <c r="H12" s="323">
        <f>F12+G12</f>
        <v>57.896519999999995</v>
      </c>
      <c r="I12" s="300">
        <f>E12*24.33%</f>
        <v>24.621959999999998</v>
      </c>
      <c r="J12" s="300">
        <f>H12+I12</f>
        <v>82.518479999999997</v>
      </c>
      <c r="K12" s="300">
        <f>E12-J12</f>
        <v>18.681520000000006</v>
      </c>
      <c r="L12" s="261">
        <f t="shared" si="2"/>
        <v>101.2</v>
      </c>
      <c r="M12" s="297"/>
    </row>
    <row r="13" spans="1:13" s="264" customFormat="1" ht="30" customHeight="1">
      <c r="A13" s="290">
        <v>2</v>
      </c>
      <c r="B13" s="291" t="s">
        <v>265</v>
      </c>
      <c r="C13" s="290" t="s">
        <v>7</v>
      </c>
      <c r="D13" s="301">
        <f>D14+D15+D18</f>
        <v>749.5</v>
      </c>
      <c r="E13" s="329">
        <f>E14+E15+E18</f>
        <v>824.4</v>
      </c>
      <c r="F13" s="293">
        <f t="shared" ref="F13:L13" si="3">F14+F15+F18</f>
        <v>171.33735999999999</v>
      </c>
      <c r="G13" s="293">
        <f t="shared" si="3"/>
        <v>269.87577440000001</v>
      </c>
      <c r="H13" s="293">
        <f>H14+H15+H18</f>
        <v>441.2131344</v>
      </c>
      <c r="I13" s="293">
        <f t="shared" si="3"/>
        <v>242.11327032000003</v>
      </c>
      <c r="J13" s="293">
        <f t="shared" si="3"/>
        <v>732.19916472</v>
      </c>
      <c r="K13" s="293">
        <f t="shared" si="3"/>
        <v>141.07359528000001</v>
      </c>
      <c r="L13" s="329">
        <f t="shared" si="3"/>
        <v>824.4</v>
      </c>
      <c r="M13" s="295" t="s">
        <v>266</v>
      </c>
    </row>
    <row r="14" spans="1:13" s="249" customFormat="1" ht="19.2" customHeight="1">
      <c r="A14" s="288"/>
      <c r="B14" s="322" t="s">
        <v>267</v>
      </c>
      <c r="C14" s="313" t="s">
        <v>7</v>
      </c>
      <c r="D14" s="265">
        <v>541.4</v>
      </c>
      <c r="E14" s="265">
        <v>580.5</v>
      </c>
      <c r="F14" s="265">
        <f>E14*18%</f>
        <v>104.49</v>
      </c>
      <c r="G14" s="265">
        <f>G8*1.8</f>
        <v>209.00484</v>
      </c>
      <c r="H14" s="265">
        <f>G14+F14</f>
        <v>313.49484000000001</v>
      </c>
      <c r="I14" s="265">
        <f>I8*2</f>
        <v>175.97820000000002</v>
      </c>
      <c r="J14" s="265">
        <f>J8*2</f>
        <v>538.34580000000005</v>
      </c>
      <c r="K14" s="265">
        <f>E14-(F14+G14+I14)</f>
        <v>91.026959999999974</v>
      </c>
      <c r="L14" s="265">
        <f>F14+G14+I14+K14</f>
        <v>580.5</v>
      </c>
      <c r="M14" s="297"/>
    </row>
    <row r="15" spans="1:13" s="249" customFormat="1" ht="19.2" customHeight="1">
      <c r="A15" s="288"/>
      <c r="B15" s="322" t="s">
        <v>268</v>
      </c>
      <c r="C15" s="288" t="s">
        <v>7</v>
      </c>
      <c r="D15" s="265">
        <f>D16+D17</f>
        <v>73.5</v>
      </c>
      <c r="E15" s="265">
        <f>E16+E17</f>
        <v>81.400000000000006</v>
      </c>
      <c r="F15" s="265">
        <f>F16+F17</f>
        <v>14.847360000000002</v>
      </c>
      <c r="G15" s="265">
        <f>G16+G17</f>
        <v>22.091903999999996</v>
      </c>
      <c r="H15" s="265">
        <f t="shared" ref="H15:H17" si="4">G15+F15</f>
        <v>36.939263999999994</v>
      </c>
      <c r="I15" s="265">
        <f t="shared" ref="I15:L15" si="5">I16+I17</f>
        <v>28.709691119999995</v>
      </c>
      <c r="J15" s="265">
        <f t="shared" si="5"/>
        <v>65.648955119999997</v>
      </c>
      <c r="K15" s="265">
        <f t="shared" si="5"/>
        <v>15.751044880000009</v>
      </c>
      <c r="L15" s="265">
        <f t="shared" si="5"/>
        <v>81.400000000000006</v>
      </c>
      <c r="M15" s="297"/>
    </row>
    <row r="16" spans="1:13" s="263" customFormat="1" ht="19.2" customHeight="1">
      <c r="A16" s="302"/>
      <c r="B16" s="326" t="s">
        <v>262</v>
      </c>
      <c r="C16" s="330" t="s">
        <v>7</v>
      </c>
      <c r="D16" s="266">
        <f>73.5*30/100</f>
        <v>22.05</v>
      </c>
      <c r="E16" s="266">
        <f>81.4*30%</f>
        <v>24.42</v>
      </c>
      <c r="F16" s="266">
        <f>E16*25.8%</f>
        <v>6.3003600000000004</v>
      </c>
      <c r="G16" s="266">
        <f>G10*1.5</f>
        <v>6.4579500000000003</v>
      </c>
      <c r="H16" s="266">
        <f t="shared" si="4"/>
        <v>12.758310000000002</v>
      </c>
      <c r="I16" s="266">
        <f>I10*1.87</f>
        <v>6.68581848</v>
      </c>
      <c r="J16" s="266">
        <f>I16+H16</f>
        <v>19.444128480000003</v>
      </c>
      <c r="K16" s="266">
        <f>E16-(F16+G16+I16)</f>
        <v>4.9758715199999983</v>
      </c>
      <c r="L16" s="266">
        <f>F16+G16+I16+K16</f>
        <v>24.42</v>
      </c>
      <c r="M16" s="297"/>
    </row>
    <row r="17" spans="1:13" s="263" customFormat="1" ht="19.2" customHeight="1">
      <c r="A17" s="302"/>
      <c r="B17" s="326" t="s">
        <v>269</v>
      </c>
      <c r="C17" s="330" t="s">
        <v>7</v>
      </c>
      <c r="D17" s="266">
        <f>73.5-D16</f>
        <v>51.45</v>
      </c>
      <c r="E17" s="266">
        <f>81.4-E16</f>
        <v>56.980000000000004</v>
      </c>
      <c r="F17" s="266">
        <f>E17*15%</f>
        <v>8.5470000000000006</v>
      </c>
      <c r="G17" s="266">
        <f>G11*1.5</f>
        <v>15.633953999999996</v>
      </c>
      <c r="H17" s="266">
        <f t="shared" si="4"/>
        <v>24.180953999999996</v>
      </c>
      <c r="I17" s="266">
        <f>I11*1.87</f>
        <v>22.023872639999997</v>
      </c>
      <c r="J17" s="266">
        <f>I17+H17</f>
        <v>46.204826639999993</v>
      </c>
      <c r="K17" s="266">
        <f>E17-(F17+G17+I17)</f>
        <v>10.775173360000011</v>
      </c>
      <c r="L17" s="266">
        <f>F17+G17+I17+K17</f>
        <v>56.980000000000004</v>
      </c>
      <c r="M17" s="297"/>
    </row>
    <row r="18" spans="1:13" s="249" customFormat="1" ht="19.2" customHeight="1">
      <c r="A18" s="288"/>
      <c r="B18" s="322" t="s">
        <v>270</v>
      </c>
      <c r="C18" s="313" t="s">
        <v>7</v>
      </c>
      <c r="D18" s="265">
        <v>134.6</v>
      </c>
      <c r="E18" s="265">
        <v>162.5</v>
      </c>
      <c r="F18" s="265">
        <f>E18*32%</f>
        <v>52</v>
      </c>
      <c r="G18" s="265">
        <f>G12*1.52</f>
        <v>38.779030399999996</v>
      </c>
      <c r="H18" s="265">
        <f>G18+F18</f>
        <v>90.779030399999996</v>
      </c>
      <c r="I18" s="265">
        <f>I12*1.52</f>
        <v>37.425379199999995</v>
      </c>
      <c r="J18" s="265">
        <f>I18+H18</f>
        <v>128.20440959999999</v>
      </c>
      <c r="K18" s="265">
        <f>E18-(F18+G18+I18)</f>
        <v>34.295590400000009</v>
      </c>
      <c r="L18" s="265">
        <f>F18+G18+I18+K18</f>
        <v>162.5</v>
      </c>
      <c r="M18" s="297"/>
    </row>
    <row r="19" spans="1:13" s="249" customFormat="1" ht="19.2" customHeight="1">
      <c r="A19" s="290">
        <v>3</v>
      </c>
      <c r="B19" s="318" t="s">
        <v>271</v>
      </c>
      <c r="C19" s="290"/>
      <c r="D19" s="303">
        <f>SUM(D20:D22)</f>
        <v>100</v>
      </c>
      <c r="E19" s="331">
        <f t="shared" ref="E19:K19" si="6">SUM(E20:E22)</f>
        <v>100</v>
      </c>
      <c r="F19" s="331">
        <f t="shared" si="6"/>
        <v>100</v>
      </c>
      <c r="G19" s="331">
        <f t="shared" si="6"/>
        <v>100</v>
      </c>
      <c r="H19" s="331">
        <f t="shared" si="6"/>
        <v>99.999999999999986</v>
      </c>
      <c r="I19" s="331">
        <f t="shared" si="6"/>
        <v>100</v>
      </c>
      <c r="J19" s="331">
        <f t="shared" si="6"/>
        <v>100</v>
      </c>
      <c r="K19" s="331">
        <f t="shared" si="6"/>
        <v>99.999999999999986</v>
      </c>
      <c r="L19" s="331">
        <f>SUM(L20:L22)</f>
        <v>100</v>
      </c>
      <c r="M19" s="295" t="s">
        <v>266</v>
      </c>
    </row>
    <row r="20" spans="1:13" s="249" customFormat="1" ht="19.2" customHeight="1">
      <c r="A20" s="288"/>
      <c r="B20" s="322" t="s">
        <v>272</v>
      </c>
      <c r="C20" s="288" t="s">
        <v>0</v>
      </c>
      <c r="D20" s="304">
        <f>D14/D13*100</f>
        <v>72.234823215476979</v>
      </c>
      <c r="E20" s="300">
        <f>E14/E13*100</f>
        <v>70.414847161572055</v>
      </c>
      <c r="F20" s="300">
        <f t="shared" ref="F20:L20" si="7">F14/F13*100</f>
        <v>60.984948058030078</v>
      </c>
      <c r="G20" s="300">
        <f t="shared" si="7"/>
        <v>77.444831965621589</v>
      </c>
      <c r="H20" s="300">
        <f t="shared" si="7"/>
        <v>71.052925572199371</v>
      </c>
      <c r="I20" s="300">
        <f t="shared" si="7"/>
        <v>72.684243935663019</v>
      </c>
      <c r="J20" s="300">
        <f t="shared" si="7"/>
        <v>73.52450343286975</v>
      </c>
      <c r="K20" s="300">
        <f t="shared" si="7"/>
        <v>64.524448972418625</v>
      </c>
      <c r="L20" s="300">
        <f t="shared" si="7"/>
        <v>70.414847161572055</v>
      </c>
      <c r="M20" s="297"/>
    </row>
    <row r="21" spans="1:13" s="249" customFormat="1" ht="19.2" customHeight="1">
      <c r="A21" s="288"/>
      <c r="B21" s="322" t="s">
        <v>261</v>
      </c>
      <c r="C21" s="288" t="s">
        <v>0</v>
      </c>
      <c r="D21" s="304">
        <f t="shared" ref="D21:L21" si="8">D15/D13*100</f>
        <v>9.8065376917945297</v>
      </c>
      <c r="E21" s="265">
        <f t="shared" si="8"/>
        <v>9.8738476467734113</v>
      </c>
      <c r="F21" s="265">
        <f t="shared" si="8"/>
        <v>8.6655706612965222</v>
      </c>
      <c r="G21" s="265">
        <f t="shared" si="8"/>
        <v>8.1859529811876275</v>
      </c>
      <c r="H21" s="265">
        <f t="shared" si="8"/>
        <v>8.3722040709946732</v>
      </c>
      <c r="I21" s="265">
        <f t="shared" si="8"/>
        <v>11.857958501016704</v>
      </c>
      <c r="J21" s="265">
        <f t="shared" si="8"/>
        <v>8.9659969968833249</v>
      </c>
      <c r="K21" s="265">
        <f t="shared" si="8"/>
        <v>11.165126151876724</v>
      </c>
      <c r="L21" s="265">
        <f t="shared" si="8"/>
        <v>9.8738476467734113</v>
      </c>
      <c r="M21" s="297"/>
    </row>
    <row r="22" spans="1:13" s="249" customFormat="1" ht="19.2" customHeight="1">
      <c r="A22" s="288"/>
      <c r="B22" s="322" t="s">
        <v>270</v>
      </c>
      <c r="C22" s="313" t="s">
        <v>0</v>
      </c>
      <c r="D22" s="304">
        <f t="shared" ref="D22:L22" si="9">D18/D13*100</f>
        <v>17.958639092728486</v>
      </c>
      <c r="E22" s="300">
        <f t="shared" si="9"/>
        <v>19.711305191654539</v>
      </c>
      <c r="F22" s="300">
        <f t="shared" si="9"/>
        <v>30.349481280673409</v>
      </c>
      <c r="G22" s="300">
        <f t="shared" si="9"/>
        <v>14.369215053190782</v>
      </c>
      <c r="H22" s="300">
        <f t="shared" si="9"/>
        <v>20.574870356805949</v>
      </c>
      <c r="I22" s="300">
        <f t="shared" si="9"/>
        <v>15.457797563320275</v>
      </c>
      <c r="J22" s="300">
        <f t="shared" si="9"/>
        <v>17.509499570246927</v>
      </c>
      <c r="K22" s="300">
        <f t="shared" si="9"/>
        <v>24.310424875704641</v>
      </c>
      <c r="L22" s="300">
        <f t="shared" si="9"/>
        <v>19.711305191654539</v>
      </c>
      <c r="M22" s="297"/>
    </row>
    <row r="23" spans="1:13" s="267" customFormat="1" ht="19.2" customHeight="1">
      <c r="A23" s="305">
        <v>4</v>
      </c>
      <c r="B23" s="332" t="s">
        <v>273</v>
      </c>
      <c r="C23" s="333" t="s">
        <v>274</v>
      </c>
      <c r="D23" s="306">
        <v>51.1</v>
      </c>
      <c r="E23" s="307">
        <v>55</v>
      </c>
      <c r="F23" s="308">
        <v>11.55</v>
      </c>
      <c r="G23" s="308">
        <v>18.7</v>
      </c>
      <c r="H23" s="308">
        <f>G23+F23</f>
        <v>30.25</v>
      </c>
      <c r="I23" s="308">
        <v>15.4</v>
      </c>
      <c r="J23" s="341">
        <f>I23+H23</f>
        <v>45.65</v>
      </c>
      <c r="K23" s="342">
        <f>9.5-0.15</f>
        <v>9.35</v>
      </c>
      <c r="L23" s="308">
        <f>K23+J23</f>
        <v>55</v>
      </c>
      <c r="M23" s="309" t="s">
        <v>275</v>
      </c>
    </row>
    <row r="24" spans="1:13" s="268" customFormat="1" ht="19.2" customHeight="1">
      <c r="A24" s="305"/>
      <c r="B24" s="334" t="s">
        <v>276</v>
      </c>
      <c r="C24" s="335"/>
      <c r="D24" s="310"/>
      <c r="E24" s="336"/>
      <c r="F24" s="337"/>
      <c r="G24" s="338"/>
      <c r="H24" s="338"/>
      <c r="I24" s="338"/>
      <c r="J24" s="338"/>
      <c r="K24" s="338"/>
      <c r="L24" s="338"/>
      <c r="M24" s="311"/>
    </row>
    <row r="25" spans="1:13" s="268" customFormat="1" ht="19.2" customHeight="1">
      <c r="A25" s="312"/>
      <c r="B25" s="334" t="s">
        <v>277</v>
      </c>
      <c r="C25" s="312" t="s">
        <v>278</v>
      </c>
      <c r="D25" s="310">
        <v>16892</v>
      </c>
      <c r="E25" s="337">
        <v>17000</v>
      </c>
      <c r="F25" s="337">
        <v>17000</v>
      </c>
      <c r="G25" s="337">
        <v>17000</v>
      </c>
      <c r="H25" s="337">
        <v>17000</v>
      </c>
      <c r="I25" s="337">
        <v>17000</v>
      </c>
      <c r="J25" s="337">
        <v>17000</v>
      </c>
      <c r="K25" s="337">
        <v>17000</v>
      </c>
      <c r="L25" s="337">
        <v>17000</v>
      </c>
      <c r="M25" s="311"/>
    </row>
    <row r="26" spans="1:13" s="249" customFormat="1" ht="19.2" customHeight="1">
      <c r="A26" s="290">
        <v>5</v>
      </c>
      <c r="B26" s="318" t="s">
        <v>279</v>
      </c>
      <c r="C26" s="288"/>
      <c r="D26" s="313"/>
      <c r="E26" s="314"/>
      <c r="F26" s="314"/>
      <c r="G26" s="314"/>
      <c r="H26" s="314"/>
      <c r="I26" s="300"/>
      <c r="J26" s="300"/>
      <c r="K26" s="250"/>
      <c r="L26" s="250"/>
      <c r="M26" s="315" t="s">
        <v>280</v>
      </c>
    </row>
    <row r="27" spans="1:13" s="249" customFormat="1" ht="19.2" customHeight="1">
      <c r="A27" s="288"/>
      <c r="B27" s="322" t="s">
        <v>281</v>
      </c>
      <c r="C27" s="288" t="s">
        <v>282</v>
      </c>
      <c r="D27" s="316">
        <v>155</v>
      </c>
      <c r="E27" s="314">
        <f>250</f>
        <v>250</v>
      </c>
      <c r="F27" s="314">
        <v>231</v>
      </c>
      <c r="G27" s="314">
        <v>240</v>
      </c>
      <c r="H27" s="314">
        <v>240</v>
      </c>
      <c r="I27" s="314">
        <v>245</v>
      </c>
      <c r="J27" s="314">
        <v>245</v>
      </c>
      <c r="K27" s="314">
        <f>250</f>
        <v>250</v>
      </c>
      <c r="L27" s="314">
        <f>250</f>
        <v>250</v>
      </c>
      <c r="M27" s="317"/>
    </row>
    <row r="28" spans="1:13" s="249" customFormat="1" ht="19.2" customHeight="1">
      <c r="A28" s="288"/>
      <c r="B28" s="322" t="s">
        <v>283</v>
      </c>
      <c r="C28" s="288"/>
      <c r="D28" s="316">
        <v>21</v>
      </c>
      <c r="E28" s="314">
        <v>21</v>
      </c>
      <c r="F28" s="314">
        <v>21</v>
      </c>
      <c r="G28" s="314">
        <v>21</v>
      </c>
      <c r="H28" s="314">
        <v>21</v>
      </c>
      <c r="I28" s="314">
        <v>21</v>
      </c>
      <c r="J28" s="314">
        <v>21</v>
      </c>
      <c r="K28" s="314">
        <v>21</v>
      </c>
      <c r="L28" s="314">
        <v>21</v>
      </c>
      <c r="M28" s="317"/>
    </row>
    <row r="29" spans="1:13" s="249" customFormat="1" ht="19.2" customHeight="1">
      <c r="A29" s="288"/>
      <c r="B29" s="322" t="s">
        <v>284</v>
      </c>
      <c r="C29" s="288" t="s">
        <v>285</v>
      </c>
      <c r="D29" s="316">
        <v>3</v>
      </c>
      <c r="E29" s="250">
        <v>3</v>
      </c>
      <c r="F29" s="250">
        <v>3</v>
      </c>
      <c r="G29" s="250">
        <v>3</v>
      </c>
      <c r="H29" s="250">
        <v>3</v>
      </c>
      <c r="I29" s="250">
        <v>3</v>
      </c>
      <c r="J29" s="250">
        <v>3</v>
      </c>
      <c r="K29" s="250">
        <v>3</v>
      </c>
      <c r="L29" s="250">
        <v>3</v>
      </c>
      <c r="M29" s="317"/>
    </row>
    <row r="30" spans="1:13" s="264" customFormat="1" ht="45.6" customHeight="1">
      <c r="A30" s="290">
        <v>6</v>
      </c>
      <c r="B30" s="318" t="s">
        <v>306</v>
      </c>
      <c r="C30" s="290" t="s">
        <v>307</v>
      </c>
      <c r="D30" s="303">
        <v>1</v>
      </c>
      <c r="E30" s="368">
        <v>13</v>
      </c>
      <c r="F30" s="368"/>
      <c r="G30" s="368">
        <v>2</v>
      </c>
      <c r="H30" s="368">
        <f>G30</f>
        <v>2</v>
      </c>
      <c r="I30" s="331">
        <v>4</v>
      </c>
      <c r="J30" s="331">
        <f>I30+H30</f>
        <v>6</v>
      </c>
      <c r="K30" s="331">
        <v>7</v>
      </c>
      <c r="L30" s="331">
        <f>K30+J30</f>
        <v>13</v>
      </c>
      <c r="M30" s="289" t="s">
        <v>301</v>
      </c>
    </row>
    <row r="31" spans="1:13" s="362" customFormat="1" ht="19.2" customHeight="1">
      <c r="A31" s="360">
        <v>7</v>
      </c>
      <c r="B31" s="361" t="s">
        <v>286</v>
      </c>
      <c r="C31" s="360" t="s">
        <v>7</v>
      </c>
      <c r="D31" s="343">
        <f>D32+D33</f>
        <v>9631</v>
      </c>
      <c r="E31" s="344">
        <f t="shared" ref="E31:L31" si="10">E32+E33</f>
        <v>7002</v>
      </c>
      <c r="F31" s="344">
        <f t="shared" si="10"/>
        <v>3039</v>
      </c>
      <c r="G31" s="344">
        <f t="shared" si="10"/>
        <v>1597</v>
      </c>
      <c r="H31" s="344">
        <f t="shared" si="10"/>
        <v>4636</v>
      </c>
      <c r="I31" s="344">
        <f t="shared" si="10"/>
        <v>1560</v>
      </c>
      <c r="J31" s="344">
        <f t="shared" si="10"/>
        <v>6196</v>
      </c>
      <c r="K31" s="344">
        <f t="shared" si="10"/>
        <v>1552</v>
      </c>
      <c r="L31" s="344">
        <f t="shared" si="10"/>
        <v>7748</v>
      </c>
      <c r="M31" s="315" t="s">
        <v>287</v>
      </c>
    </row>
    <row r="32" spans="1:13" s="362" customFormat="1" ht="19.2" customHeight="1">
      <c r="A32" s="360"/>
      <c r="B32" s="363" t="s">
        <v>288</v>
      </c>
      <c r="C32" s="364"/>
      <c r="D32" s="251">
        <f>9631-D33</f>
        <v>8014</v>
      </c>
      <c r="E32" s="252">
        <f>7002-E33</f>
        <v>6452</v>
      </c>
      <c r="F32" s="253">
        <f>3039-F33</f>
        <v>2497</v>
      </c>
      <c r="G32" s="253">
        <f>1597-G33</f>
        <v>1568</v>
      </c>
      <c r="H32" s="253">
        <f>G32+F32</f>
        <v>4065</v>
      </c>
      <c r="I32" s="253">
        <f>1560-I33</f>
        <v>1539</v>
      </c>
      <c r="J32" s="253">
        <f>I32+H32</f>
        <v>5604</v>
      </c>
      <c r="K32" s="253">
        <f>1552-K33</f>
        <v>1531</v>
      </c>
      <c r="L32" s="253">
        <f>K32+J32</f>
        <v>7135</v>
      </c>
      <c r="M32" s="317"/>
    </row>
    <row r="33" spans="1:13" s="365" customFormat="1" ht="19.2" customHeight="1">
      <c r="A33" s="364"/>
      <c r="B33" s="363" t="s">
        <v>289</v>
      </c>
      <c r="C33" s="364"/>
      <c r="D33" s="252">
        <v>1617</v>
      </c>
      <c r="E33" s="252">
        <v>550</v>
      </c>
      <c r="F33" s="253">
        <v>542</v>
      </c>
      <c r="G33" s="253">
        <v>29</v>
      </c>
      <c r="H33" s="253">
        <f>G33+F33</f>
        <v>571</v>
      </c>
      <c r="I33" s="253">
        <v>21</v>
      </c>
      <c r="J33" s="253">
        <f>I33+H33</f>
        <v>592</v>
      </c>
      <c r="K33" s="252">
        <v>21</v>
      </c>
      <c r="L33" s="253">
        <f>K33+J33</f>
        <v>613</v>
      </c>
      <c r="M33" s="317"/>
    </row>
    <row r="34" spans="1:13" s="362" customFormat="1" ht="19.2" customHeight="1">
      <c r="A34" s="360">
        <v>8</v>
      </c>
      <c r="B34" s="361" t="s">
        <v>298</v>
      </c>
      <c r="C34" s="360" t="s">
        <v>7</v>
      </c>
      <c r="D34" s="345">
        <f>D35</f>
        <v>132.06</v>
      </c>
      <c r="E34" s="345">
        <f t="shared" ref="E34:L34" si="11">E35</f>
        <v>144.47</v>
      </c>
      <c r="F34" s="345">
        <f t="shared" si="11"/>
        <v>29.326000000000001</v>
      </c>
      <c r="G34" s="345">
        <f t="shared" si="11"/>
        <v>37.616</v>
      </c>
      <c r="H34" s="345">
        <f t="shared" si="11"/>
        <v>66.942000000000007</v>
      </c>
      <c r="I34" s="345">
        <f t="shared" si="11"/>
        <v>36</v>
      </c>
      <c r="J34" s="345">
        <f t="shared" si="11"/>
        <v>102.94200000000001</v>
      </c>
      <c r="K34" s="345">
        <f t="shared" si="11"/>
        <v>41.53</v>
      </c>
      <c r="L34" s="345">
        <f t="shared" si="11"/>
        <v>144.47200000000001</v>
      </c>
      <c r="M34" s="315" t="s">
        <v>300</v>
      </c>
    </row>
    <row r="35" spans="1:13" s="365" customFormat="1" ht="22.2" customHeight="1">
      <c r="A35" s="364"/>
      <c r="B35" s="366" t="s">
        <v>299</v>
      </c>
      <c r="C35" s="364"/>
      <c r="D35" s="257">
        <v>132.06</v>
      </c>
      <c r="E35" s="257">
        <v>144.47</v>
      </c>
      <c r="F35" s="259">
        <v>29.326000000000001</v>
      </c>
      <c r="G35" s="259">
        <v>37.616</v>
      </c>
      <c r="H35" s="287">
        <f>G35+F35</f>
        <v>66.942000000000007</v>
      </c>
      <c r="I35" s="287">
        <v>36</v>
      </c>
      <c r="J35" s="287">
        <f>I35+H35</f>
        <v>102.94200000000001</v>
      </c>
      <c r="K35" s="339">
        <v>41.53</v>
      </c>
      <c r="L35" s="287">
        <f>K35+J35</f>
        <v>144.47200000000001</v>
      </c>
      <c r="M35" s="317"/>
    </row>
    <row r="36" spans="1:13" s="249" customFormat="1" ht="32.4" customHeight="1">
      <c r="A36" s="360">
        <v>9</v>
      </c>
      <c r="B36" s="361" t="s">
        <v>308</v>
      </c>
      <c r="C36" s="360" t="s">
        <v>7</v>
      </c>
      <c r="D36" s="321">
        <v>0</v>
      </c>
      <c r="E36" s="321">
        <v>3.5</v>
      </c>
      <c r="F36" s="321">
        <v>0</v>
      </c>
      <c r="G36" s="321">
        <v>0</v>
      </c>
      <c r="H36" s="321">
        <v>0</v>
      </c>
      <c r="I36" s="339">
        <v>1.5</v>
      </c>
      <c r="J36" s="257">
        <f>I36</f>
        <v>1.5</v>
      </c>
      <c r="K36" s="257">
        <v>2</v>
      </c>
      <c r="L36" s="257">
        <f>K36+J36</f>
        <v>3.5</v>
      </c>
      <c r="M36" s="289" t="s">
        <v>309</v>
      </c>
    </row>
    <row r="37" spans="1:13">
      <c r="A37" s="254"/>
    </row>
    <row r="38" spans="1:13">
      <c r="A38" s="254"/>
    </row>
    <row r="39" spans="1:13">
      <c r="A39" s="254"/>
    </row>
    <row r="40" spans="1:13">
      <c r="A40" s="254"/>
    </row>
    <row r="41" spans="1:13">
      <c r="A41" s="254"/>
      <c r="F41" s="255"/>
    </row>
    <row r="42" spans="1:13">
      <c r="A42" s="254"/>
      <c r="F42" s="255"/>
    </row>
    <row r="43" spans="1:13">
      <c r="A43" s="254"/>
    </row>
    <row r="44" spans="1:13">
      <c r="A44" s="254"/>
    </row>
    <row r="45" spans="1:13">
      <c r="A45" s="254"/>
    </row>
    <row r="46" spans="1:13">
      <c r="A46" s="254"/>
    </row>
    <row r="47" spans="1:13">
      <c r="A47" s="254"/>
    </row>
    <row r="48" spans="1:13">
      <c r="A48" s="254"/>
    </row>
    <row r="49" spans="1:1">
      <c r="A49" s="254"/>
    </row>
    <row r="50" spans="1:1">
      <c r="A50" s="254"/>
    </row>
    <row r="51" spans="1:1">
      <c r="A51" s="254"/>
    </row>
    <row r="52" spans="1:1">
      <c r="A52" s="254"/>
    </row>
    <row r="53" spans="1:1">
      <c r="A53" s="254"/>
    </row>
    <row r="54" spans="1:1">
      <c r="A54" s="254"/>
    </row>
    <row r="55" spans="1:1">
      <c r="A55" s="254"/>
    </row>
    <row r="56" spans="1:1">
      <c r="A56" s="254"/>
    </row>
    <row r="57" spans="1:1">
      <c r="A57" s="254"/>
    </row>
    <row r="58" spans="1:1">
      <c r="A58" s="254"/>
    </row>
    <row r="59" spans="1:1">
      <c r="A59" s="254"/>
    </row>
    <row r="60" spans="1:1">
      <c r="A60" s="254"/>
    </row>
    <row r="61" spans="1:1">
      <c r="A61" s="254"/>
    </row>
    <row r="62" spans="1:1">
      <c r="A62" s="254"/>
    </row>
    <row r="63" spans="1:1">
      <c r="A63" s="254"/>
    </row>
    <row r="64" spans="1:1">
      <c r="A64" s="254"/>
    </row>
    <row r="65" spans="1:1">
      <c r="A65" s="254"/>
    </row>
    <row r="66" spans="1:1">
      <c r="A66" s="254"/>
    </row>
    <row r="67" spans="1:1">
      <c r="A67" s="254"/>
    </row>
    <row r="68" spans="1:1">
      <c r="A68" s="254"/>
    </row>
    <row r="69" spans="1:1">
      <c r="A69" s="254"/>
    </row>
    <row r="70" spans="1:1">
      <c r="A70" s="254"/>
    </row>
    <row r="71" spans="1:1">
      <c r="A71" s="254"/>
    </row>
    <row r="72" spans="1:1">
      <c r="A72" s="254"/>
    </row>
    <row r="73" spans="1:1">
      <c r="A73" s="254"/>
    </row>
    <row r="74" spans="1:1">
      <c r="A74" s="254"/>
    </row>
    <row r="75" spans="1:1">
      <c r="A75" s="254"/>
    </row>
    <row r="76" spans="1:1">
      <c r="A76" s="254"/>
    </row>
    <row r="77" spans="1:1">
      <c r="A77" s="254"/>
    </row>
    <row r="78" spans="1:1">
      <c r="A78" s="254"/>
    </row>
    <row r="79" spans="1:1">
      <c r="A79" s="254"/>
    </row>
    <row r="80" spans="1:1">
      <c r="A80" s="254"/>
    </row>
    <row r="81" spans="1:1">
      <c r="A81" s="254"/>
    </row>
    <row r="82" spans="1:1">
      <c r="A82" s="254"/>
    </row>
    <row r="83" spans="1:1">
      <c r="A83" s="254"/>
    </row>
    <row r="84" spans="1:1">
      <c r="A84" s="254"/>
    </row>
    <row r="85" spans="1:1">
      <c r="A85" s="254"/>
    </row>
    <row r="86" spans="1:1">
      <c r="A86" s="254"/>
    </row>
    <row r="87" spans="1:1">
      <c r="A87" s="254"/>
    </row>
    <row r="88" spans="1:1">
      <c r="A88" s="254"/>
    </row>
    <row r="89" spans="1:1">
      <c r="A89" s="254"/>
    </row>
    <row r="90" spans="1:1">
      <c r="A90" s="254"/>
    </row>
    <row r="91" spans="1:1">
      <c r="A91" s="254"/>
    </row>
    <row r="92" spans="1:1">
      <c r="A92" s="254"/>
    </row>
    <row r="93" spans="1:1">
      <c r="A93" s="254"/>
    </row>
    <row r="94" spans="1:1">
      <c r="A94" s="254"/>
    </row>
    <row r="95" spans="1:1">
      <c r="A95" s="254"/>
    </row>
    <row r="96" spans="1:1">
      <c r="A96" s="254"/>
    </row>
    <row r="97" spans="1:1">
      <c r="A97" s="254"/>
    </row>
    <row r="98" spans="1:1">
      <c r="A98" s="254"/>
    </row>
    <row r="99" spans="1:1">
      <c r="A99" s="254"/>
    </row>
    <row r="100" spans="1:1">
      <c r="A100" s="254"/>
    </row>
    <row r="101" spans="1:1">
      <c r="A101" s="254"/>
    </row>
    <row r="102" spans="1:1">
      <c r="A102" s="254"/>
    </row>
    <row r="103" spans="1:1">
      <c r="A103" s="254"/>
    </row>
    <row r="104" spans="1:1">
      <c r="A104" s="254"/>
    </row>
    <row r="105" spans="1:1">
      <c r="A105" s="254"/>
    </row>
    <row r="106" spans="1:1">
      <c r="A106" s="254"/>
    </row>
    <row r="107" spans="1:1">
      <c r="A107" s="254"/>
    </row>
    <row r="108" spans="1:1">
      <c r="A108" s="254"/>
    </row>
    <row r="109" spans="1:1">
      <c r="A109" s="254"/>
    </row>
    <row r="110" spans="1:1">
      <c r="A110" s="254"/>
    </row>
    <row r="111" spans="1:1">
      <c r="A111" s="254"/>
    </row>
    <row r="112" spans="1:1">
      <c r="A112" s="254"/>
    </row>
    <row r="113" spans="1:1">
      <c r="A113" s="254"/>
    </row>
    <row r="114" spans="1:1">
      <c r="A114" s="254"/>
    </row>
    <row r="115" spans="1:1">
      <c r="A115" s="254"/>
    </row>
    <row r="116" spans="1:1">
      <c r="A116" s="254"/>
    </row>
    <row r="117" spans="1:1">
      <c r="A117" s="254"/>
    </row>
    <row r="118" spans="1:1">
      <c r="A118" s="254"/>
    </row>
    <row r="119" spans="1:1">
      <c r="A119" s="254"/>
    </row>
    <row r="120" spans="1:1">
      <c r="A120" s="254"/>
    </row>
    <row r="121" spans="1:1">
      <c r="A121" s="254"/>
    </row>
    <row r="122" spans="1:1">
      <c r="A122" s="254"/>
    </row>
    <row r="123" spans="1:1">
      <c r="A123" s="254"/>
    </row>
    <row r="124" spans="1:1">
      <c r="A124" s="254"/>
    </row>
    <row r="125" spans="1:1">
      <c r="A125" s="254"/>
    </row>
    <row r="126" spans="1:1">
      <c r="A126" s="254"/>
    </row>
    <row r="127" spans="1:1">
      <c r="A127" s="254"/>
    </row>
    <row r="128" spans="1:1">
      <c r="A128" s="254"/>
    </row>
    <row r="129" spans="1:1">
      <c r="A129" s="254"/>
    </row>
    <row r="130" spans="1:1">
      <c r="A130" s="254"/>
    </row>
    <row r="131" spans="1:1">
      <c r="A131" s="254"/>
    </row>
    <row r="132" spans="1:1">
      <c r="A132" s="254"/>
    </row>
    <row r="133" spans="1:1">
      <c r="A133" s="254"/>
    </row>
    <row r="134" spans="1:1">
      <c r="A134" s="254"/>
    </row>
    <row r="135" spans="1:1">
      <c r="A135" s="254"/>
    </row>
    <row r="136" spans="1:1">
      <c r="A136" s="254"/>
    </row>
    <row r="137" spans="1:1">
      <c r="A137" s="254"/>
    </row>
    <row r="138" spans="1:1">
      <c r="A138" s="254"/>
    </row>
    <row r="139" spans="1:1">
      <c r="A139" s="254"/>
    </row>
    <row r="140" spans="1:1">
      <c r="A140" s="254"/>
    </row>
    <row r="141" spans="1:1">
      <c r="A141" s="254"/>
    </row>
    <row r="142" spans="1:1">
      <c r="A142" s="254"/>
    </row>
    <row r="143" spans="1:1">
      <c r="A143" s="254"/>
    </row>
    <row r="144" spans="1:1">
      <c r="A144" s="254"/>
    </row>
    <row r="145" spans="1:1">
      <c r="A145" s="254"/>
    </row>
    <row r="146" spans="1:1">
      <c r="A146" s="254"/>
    </row>
    <row r="147" spans="1:1">
      <c r="A147" s="254"/>
    </row>
    <row r="148" spans="1:1">
      <c r="A148" s="254"/>
    </row>
    <row r="149" spans="1:1">
      <c r="A149" s="254"/>
    </row>
    <row r="150" spans="1:1">
      <c r="A150" s="254"/>
    </row>
    <row r="151" spans="1:1">
      <c r="A151" s="254"/>
    </row>
    <row r="152" spans="1:1">
      <c r="A152" s="254"/>
    </row>
    <row r="153" spans="1:1">
      <c r="A153" s="254"/>
    </row>
    <row r="154" spans="1:1">
      <c r="A154" s="254"/>
    </row>
    <row r="155" spans="1:1">
      <c r="A155" s="254"/>
    </row>
    <row r="156" spans="1:1">
      <c r="A156" s="254"/>
    </row>
    <row r="157" spans="1:1">
      <c r="A157" s="254"/>
    </row>
    <row r="158" spans="1:1">
      <c r="A158" s="254"/>
    </row>
    <row r="159" spans="1:1">
      <c r="A159" s="254"/>
    </row>
    <row r="160" spans="1:1">
      <c r="A160" s="254"/>
    </row>
    <row r="161" spans="1:1">
      <c r="A161" s="254"/>
    </row>
    <row r="162" spans="1:1">
      <c r="A162" s="254"/>
    </row>
    <row r="163" spans="1:1">
      <c r="A163" s="254"/>
    </row>
    <row r="164" spans="1:1">
      <c r="A164" s="254"/>
    </row>
    <row r="165" spans="1:1">
      <c r="A165" s="254"/>
    </row>
    <row r="166" spans="1:1">
      <c r="A166" s="254"/>
    </row>
    <row r="167" spans="1:1">
      <c r="A167" s="254"/>
    </row>
    <row r="168" spans="1:1">
      <c r="A168" s="254"/>
    </row>
    <row r="169" spans="1:1">
      <c r="A169" s="254"/>
    </row>
    <row r="170" spans="1:1">
      <c r="A170" s="254"/>
    </row>
    <row r="171" spans="1:1">
      <c r="A171" s="254"/>
    </row>
    <row r="172" spans="1:1">
      <c r="A172" s="254"/>
    </row>
    <row r="173" spans="1:1">
      <c r="A173" s="254"/>
    </row>
    <row r="174" spans="1:1">
      <c r="A174" s="254"/>
    </row>
    <row r="175" spans="1:1">
      <c r="A175" s="254"/>
    </row>
    <row r="176" spans="1:1">
      <c r="A176" s="254"/>
    </row>
    <row r="177" spans="1:1">
      <c r="A177" s="254"/>
    </row>
    <row r="178" spans="1:1">
      <c r="A178" s="254"/>
    </row>
    <row r="179" spans="1:1">
      <c r="A179" s="254"/>
    </row>
    <row r="180" spans="1:1">
      <c r="A180" s="254"/>
    </row>
    <row r="181" spans="1:1">
      <c r="A181" s="254"/>
    </row>
    <row r="182" spans="1:1">
      <c r="A182" s="254"/>
    </row>
    <row r="183" spans="1:1">
      <c r="A183" s="254"/>
    </row>
    <row r="184" spans="1:1">
      <c r="A184" s="254"/>
    </row>
    <row r="185" spans="1:1">
      <c r="A185" s="254"/>
    </row>
    <row r="186" spans="1:1">
      <c r="A186" s="254"/>
    </row>
    <row r="187" spans="1:1">
      <c r="A187" s="254"/>
    </row>
    <row r="188" spans="1:1">
      <c r="A188" s="254"/>
    </row>
    <row r="189" spans="1:1">
      <c r="A189" s="254"/>
    </row>
    <row r="190" spans="1:1">
      <c r="A190" s="254"/>
    </row>
    <row r="191" spans="1:1">
      <c r="A191" s="254"/>
    </row>
    <row r="192" spans="1:1">
      <c r="A192" s="254"/>
    </row>
    <row r="193" spans="1:1">
      <c r="A193" s="254"/>
    </row>
    <row r="194" spans="1:1">
      <c r="A194" s="254"/>
    </row>
    <row r="195" spans="1:1">
      <c r="A195" s="254"/>
    </row>
    <row r="196" spans="1:1">
      <c r="A196" s="254"/>
    </row>
    <row r="197" spans="1:1">
      <c r="A197" s="254"/>
    </row>
    <row r="198" spans="1:1">
      <c r="A198" s="254"/>
    </row>
    <row r="199" spans="1:1">
      <c r="A199" s="254"/>
    </row>
    <row r="200" spans="1:1">
      <c r="A200" s="254"/>
    </row>
    <row r="201" spans="1:1">
      <c r="A201" s="254"/>
    </row>
    <row r="202" spans="1:1">
      <c r="A202" s="254"/>
    </row>
    <row r="203" spans="1:1">
      <c r="A203" s="254"/>
    </row>
    <row r="204" spans="1:1">
      <c r="A204" s="254"/>
    </row>
    <row r="205" spans="1:1">
      <c r="A205" s="254"/>
    </row>
    <row r="206" spans="1:1">
      <c r="A206" s="254"/>
    </row>
    <row r="207" spans="1:1">
      <c r="A207" s="254"/>
    </row>
    <row r="208" spans="1:1">
      <c r="A208" s="254"/>
    </row>
    <row r="209" spans="1:1">
      <c r="A209" s="254"/>
    </row>
    <row r="210" spans="1:1">
      <c r="A210" s="254"/>
    </row>
    <row r="211" spans="1:1">
      <c r="A211" s="254"/>
    </row>
    <row r="212" spans="1:1">
      <c r="A212" s="254"/>
    </row>
    <row r="213" spans="1:1">
      <c r="A213" s="254"/>
    </row>
    <row r="214" spans="1:1">
      <c r="A214" s="254"/>
    </row>
    <row r="215" spans="1:1">
      <c r="A215" s="254"/>
    </row>
    <row r="216" spans="1:1">
      <c r="A216" s="254"/>
    </row>
    <row r="217" spans="1:1">
      <c r="A217" s="254"/>
    </row>
    <row r="218" spans="1:1">
      <c r="A218" s="254"/>
    </row>
    <row r="219" spans="1:1">
      <c r="A219" s="254"/>
    </row>
    <row r="220" spans="1:1">
      <c r="A220" s="254"/>
    </row>
    <row r="221" spans="1:1">
      <c r="A221" s="254"/>
    </row>
    <row r="222" spans="1:1">
      <c r="A222" s="254"/>
    </row>
    <row r="223" spans="1:1">
      <c r="A223" s="254"/>
    </row>
    <row r="224" spans="1:1">
      <c r="A224" s="254"/>
    </row>
    <row r="225" spans="1:1">
      <c r="A225" s="254"/>
    </row>
    <row r="226" spans="1:1">
      <c r="A226" s="254"/>
    </row>
    <row r="227" spans="1:1">
      <c r="A227" s="254"/>
    </row>
    <row r="228" spans="1:1">
      <c r="A228" s="254"/>
    </row>
    <row r="229" spans="1:1">
      <c r="A229" s="254"/>
    </row>
    <row r="230" spans="1:1">
      <c r="A230" s="254"/>
    </row>
    <row r="231" spans="1:1">
      <c r="A231" s="254"/>
    </row>
    <row r="232" spans="1:1">
      <c r="A232" s="254"/>
    </row>
    <row r="233" spans="1:1">
      <c r="A233" s="254"/>
    </row>
    <row r="234" spans="1:1">
      <c r="A234" s="254"/>
    </row>
    <row r="235" spans="1:1">
      <c r="A235" s="254"/>
    </row>
    <row r="236" spans="1:1">
      <c r="A236" s="254"/>
    </row>
    <row r="237" spans="1:1">
      <c r="A237" s="254"/>
    </row>
    <row r="238" spans="1:1">
      <c r="A238" s="254"/>
    </row>
    <row r="239" spans="1:1">
      <c r="A239" s="254"/>
    </row>
    <row r="240" spans="1:1">
      <c r="A240" s="254"/>
    </row>
    <row r="241" spans="1:1">
      <c r="A241" s="254"/>
    </row>
    <row r="242" spans="1:1">
      <c r="A242" s="254"/>
    </row>
    <row r="243" spans="1:1">
      <c r="A243" s="254"/>
    </row>
    <row r="244" spans="1:1">
      <c r="A244" s="254"/>
    </row>
    <row r="245" spans="1:1">
      <c r="A245" s="254"/>
    </row>
    <row r="246" spans="1:1">
      <c r="A246" s="254"/>
    </row>
    <row r="247" spans="1:1">
      <c r="A247" s="254"/>
    </row>
    <row r="248" spans="1:1">
      <c r="A248" s="254"/>
    </row>
    <row r="249" spans="1:1">
      <c r="A249" s="254"/>
    </row>
    <row r="250" spans="1:1">
      <c r="A250" s="254"/>
    </row>
    <row r="251" spans="1:1">
      <c r="A251" s="254"/>
    </row>
    <row r="252" spans="1:1">
      <c r="A252" s="254"/>
    </row>
    <row r="253" spans="1:1">
      <c r="A253" s="254"/>
    </row>
    <row r="254" spans="1:1">
      <c r="A254" s="254"/>
    </row>
    <row r="255" spans="1:1">
      <c r="A255" s="254"/>
    </row>
    <row r="256" spans="1:1">
      <c r="A256" s="254"/>
    </row>
    <row r="257" spans="1:1">
      <c r="A257" s="254"/>
    </row>
    <row r="258" spans="1:1">
      <c r="A258" s="254"/>
    </row>
    <row r="259" spans="1:1">
      <c r="A259" s="254"/>
    </row>
    <row r="260" spans="1:1">
      <c r="A260" s="254"/>
    </row>
    <row r="261" spans="1:1">
      <c r="A261" s="254"/>
    </row>
    <row r="262" spans="1:1">
      <c r="A262" s="254"/>
    </row>
    <row r="263" spans="1:1">
      <c r="A263" s="254"/>
    </row>
    <row r="264" spans="1:1">
      <c r="A264" s="254"/>
    </row>
    <row r="265" spans="1:1">
      <c r="A265" s="254"/>
    </row>
    <row r="266" spans="1:1">
      <c r="A266" s="254"/>
    </row>
    <row r="267" spans="1:1">
      <c r="A267" s="254"/>
    </row>
    <row r="268" spans="1:1">
      <c r="A268" s="254"/>
    </row>
    <row r="269" spans="1:1">
      <c r="A269" s="254"/>
    </row>
    <row r="270" spans="1:1">
      <c r="A270" s="254"/>
    </row>
    <row r="271" spans="1:1">
      <c r="A271" s="254"/>
    </row>
    <row r="272" spans="1:1">
      <c r="A272" s="254"/>
    </row>
    <row r="273" spans="1:1">
      <c r="A273" s="254"/>
    </row>
    <row r="274" spans="1:1">
      <c r="A274" s="254"/>
    </row>
    <row r="275" spans="1:1">
      <c r="A275" s="254"/>
    </row>
    <row r="276" spans="1:1">
      <c r="A276" s="254"/>
    </row>
    <row r="277" spans="1:1">
      <c r="A277" s="254"/>
    </row>
    <row r="278" spans="1:1">
      <c r="A278" s="254"/>
    </row>
    <row r="279" spans="1:1">
      <c r="A279" s="254"/>
    </row>
    <row r="280" spans="1:1">
      <c r="A280" s="254"/>
    </row>
    <row r="281" spans="1:1">
      <c r="A281" s="254"/>
    </row>
    <row r="282" spans="1:1">
      <c r="A282" s="254"/>
    </row>
    <row r="283" spans="1:1">
      <c r="A283" s="254"/>
    </row>
    <row r="284" spans="1:1">
      <c r="A284" s="254"/>
    </row>
    <row r="285" spans="1:1">
      <c r="A285" s="254"/>
    </row>
    <row r="286" spans="1:1">
      <c r="A286" s="254"/>
    </row>
    <row r="287" spans="1:1">
      <c r="A287" s="254"/>
    </row>
    <row r="288" spans="1:1">
      <c r="A288" s="254"/>
    </row>
    <row r="289" spans="1:1">
      <c r="A289" s="254"/>
    </row>
    <row r="290" spans="1:1">
      <c r="A290" s="254"/>
    </row>
    <row r="291" spans="1:1">
      <c r="A291" s="254"/>
    </row>
    <row r="292" spans="1:1">
      <c r="A292" s="254"/>
    </row>
    <row r="293" spans="1:1">
      <c r="A293" s="254"/>
    </row>
    <row r="294" spans="1:1">
      <c r="A294" s="254"/>
    </row>
    <row r="295" spans="1:1">
      <c r="A295" s="254"/>
    </row>
    <row r="296" spans="1:1">
      <c r="A296" s="254"/>
    </row>
    <row r="297" spans="1:1">
      <c r="A297" s="254"/>
    </row>
    <row r="298" spans="1:1">
      <c r="A298" s="254"/>
    </row>
    <row r="299" spans="1:1">
      <c r="A299" s="254"/>
    </row>
    <row r="300" spans="1:1">
      <c r="A300" s="254"/>
    </row>
    <row r="301" spans="1:1">
      <c r="A301" s="254"/>
    </row>
    <row r="302" spans="1:1">
      <c r="A302" s="254"/>
    </row>
    <row r="303" spans="1:1">
      <c r="A303" s="254"/>
    </row>
    <row r="304" spans="1:1">
      <c r="A304" s="254"/>
    </row>
    <row r="305" spans="1:1">
      <c r="A305" s="254"/>
    </row>
    <row r="306" spans="1:1">
      <c r="A306" s="254"/>
    </row>
    <row r="307" spans="1:1">
      <c r="A307" s="254"/>
    </row>
    <row r="308" spans="1:1">
      <c r="A308" s="254"/>
    </row>
    <row r="309" spans="1:1">
      <c r="A309" s="254"/>
    </row>
    <row r="310" spans="1:1">
      <c r="A310" s="254"/>
    </row>
    <row r="311" spans="1:1">
      <c r="A311" s="254"/>
    </row>
    <row r="312" spans="1:1">
      <c r="A312" s="254"/>
    </row>
    <row r="313" spans="1:1">
      <c r="A313" s="254"/>
    </row>
    <row r="314" spans="1:1">
      <c r="A314" s="254"/>
    </row>
    <row r="315" spans="1:1">
      <c r="A315" s="254"/>
    </row>
    <row r="316" spans="1:1">
      <c r="A316" s="254"/>
    </row>
    <row r="317" spans="1:1">
      <c r="A317" s="254"/>
    </row>
    <row r="318" spans="1:1">
      <c r="A318" s="254"/>
    </row>
    <row r="319" spans="1:1">
      <c r="A319" s="254"/>
    </row>
    <row r="320" spans="1:1">
      <c r="A320" s="254"/>
    </row>
    <row r="321" spans="1:1">
      <c r="A321" s="254"/>
    </row>
    <row r="322" spans="1:1">
      <c r="A322" s="254"/>
    </row>
    <row r="323" spans="1:1">
      <c r="A323" s="254"/>
    </row>
    <row r="324" spans="1:1">
      <c r="A324" s="254"/>
    </row>
    <row r="325" spans="1:1">
      <c r="A325" s="254"/>
    </row>
    <row r="326" spans="1:1">
      <c r="A326" s="254"/>
    </row>
    <row r="327" spans="1:1">
      <c r="A327" s="254"/>
    </row>
    <row r="328" spans="1:1">
      <c r="A328" s="254"/>
    </row>
    <row r="329" spans="1:1">
      <c r="A329" s="254"/>
    </row>
    <row r="330" spans="1:1">
      <c r="A330" s="254"/>
    </row>
    <row r="331" spans="1:1">
      <c r="A331" s="254"/>
    </row>
    <row r="332" spans="1:1">
      <c r="A332" s="254"/>
    </row>
    <row r="333" spans="1:1">
      <c r="A333" s="254"/>
    </row>
    <row r="334" spans="1:1">
      <c r="A334" s="254"/>
    </row>
    <row r="335" spans="1:1">
      <c r="A335" s="254"/>
    </row>
    <row r="336" spans="1:1">
      <c r="A336" s="254"/>
    </row>
    <row r="337" spans="1:1">
      <c r="A337" s="254"/>
    </row>
    <row r="338" spans="1:1">
      <c r="A338" s="254"/>
    </row>
    <row r="339" spans="1:1">
      <c r="A339" s="254"/>
    </row>
    <row r="340" spans="1:1">
      <c r="A340" s="254"/>
    </row>
    <row r="341" spans="1:1">
      <c r="A341" s="254"/>
    </row>
    <row r="342" spans="1:1">
      <c r="A342" s="254"/>
    </row>
    <row r="343" spans="1:1">
      <c r="A343" s="254"/>
    </row>
    <row r="344" spans="1:1">
      <c r="A344" s="254"/>
    </row>
    <row r="345" spans="1:1">
      <c r="A345" s="254"/>
    </row>
    <row r="346" spans="1:1">
      <c r="A346" s="254"/>
    </row>
    <row r="347" spans="1:1">
      <c r="A347" s="254"/>
    </row>
    <row r="348" spans="1:1">
      <c r="A348" s="254"/>
    </row>
    <row r="349" spans="1:1">
      <c r="A349" s="254"/>
    </row>
    <row r="350" spans="1:1">
      <c r="A350" s="254"/>
    </row>
    <row r="351" spans="1:1">
      <c r="A351" s="254"/>
    </row>
    <row r="352" spans="1:1">
      <c r="A352" s="254"/>
    </row>
    <row r="353" spans="1:1">
      <c r="A353" s="254"/>
    </row>
    <row r="354" spans="1:1">
      <c r="A354" s="254"/>
    </row>
    <row r="355" spans="1:1">
      <c r="A355" s="254"/>
    </row>
    <row r="356" spans="1:1">
      <c r="A356" s="254"/>
    </row>
    <row r="357" spans="1:1">
      <c r="A357" s="254"/>
    </row>
    <row r="358" spans="1:1">
      <c r="A358" s="254"/>
    </row>
    <row r="359" spans="1:1">
      <c r="A359" s="254"/>
    </row>
    <row r="360" spans="1:1">
      <c r="A360" s="254"/>
    </row>
    <row r="361" spans="1:1">
      <c r="A361" s="254"/>
    </row>
    <row r="362" spans="1:1">
      <c r="A362" s="254"/>
    </row>
    <row r="363" spans="1:1">
      <c r="A363" s="254"/>
    </row>
    <row r="364" spans="1:1">
      <c r="A364" s="254"/>
    </row>
    <row r="365" spans="1:1">
      <c r="A365" s="254"/>
    </row>
    <row r="366" spans="1:1">
      <c r="A366" s="254"/>
    </row>
    <row r="367" spans="1:1">
      <c r="A367" s="254"/>
    </row>
    <row r="368" spans="1:1">
      <c r="A368" s="254"/>
    </row>
    <row r="369" spans="1:1">
      <c r="A369" s="254"/>
    </row>
    <row r="370" spans="1:1">
      <c r="A370" s="254"/>
    </row>
    <row r="371" spans="1:1">
      <c r="A371" s="254"/>
    </row>
    <row r="372" spans="1:1">
      <c r="A372" s="254"/>
    </row>
    <row r="373" spans="1:1">
      <c r="A373" s="254"/>
    </row>
    <row r="374" spans="1:1">
      <c r="A374" s="254"/>
    </row>
    <row r="375" spans="1:1">
      <c r="A375" s="254"/>
    </row>
    <row r="376" spans="1:1">
      <c r="A376" s="254"/>
    </row>
    <row r="377" spans="1:1">
      <c r="A377" s="254"/>
    </row>
    <row r="378" spans="1:1">
      <c r="A378" s="254"/>
    </row>
    <row r="379" spans="1:1">
      <c r="A379" s="254"/>
    </row>
    <row r="380" spans="1:1">
      <c r="A380" s="254"/>
    </row>
    <row r="381" spans="1:1">
      <c r="A381" s="254"/>
    </row>
    <row r="382" spans="1:1">
      <c r="A382" s="254"/>
    </row>
    <row r="383" spans="1:1">
      <c r="A383" s="254"/>
    </row>
    <row r="384" spans="1:1">
      <c r="A384" s="254"/>
    </row>
    <row r="385" spans="1:1">
      <c r="A385" s="254"/>
    </row>
    <row r="386" spans="1:1">
      <c r="A386" s="254"/>
    </row>
    <row r="387" spans="1:1">
      <c r="A387" s="254"/>
    </row>
    <row r="388" spans="1:1">
      <c r="A388" s="254"/>
    </row>
    <row r="389" spans="1:1">
      <c r="A389" s="254"/>
    </row>
    <row r="390" spans="1:1">
      <c r="A390" s="254"/>
    </row>
    <row r="391" spans="1:1">
      <c r="A391" s="254"/>
    </row>
    <row r="392" spans="1:1">
      <c r="A392" s="254"/>
    </row>
    <row r="393" spans="1:1">
      <c r="A393" s="254"/>
    </row>
    <row r="394" spans="1:1">
      <c r="A394" s="254"/>
    </row>
    <row r="395" spans="1:1">
      <c r="A395" s="254"/>
    </row>
    <row r="396" spans="1:1">
      <c r="A396" s="254"/>
    </row>
    <row r="397" spans="1:1">
      <c r="A397" s="254"/>
    </row>
    <row r="398" spans="1:1">
      <c r="A398" s="254"/>
    </row>
    <row r="399" spans="1:1">
      <c r="A399" s="254"/>
    </row>
    <row r="400" spans="1:1">
      <c r="A400" s="254"/>
    </row>
    <row r="401" spans="1:1">
      <c r="A401" s="254"/>
    </row>
    <row r="402" spans="1:1">
      <c r="A402" s="254"/>
    </row>
    <row r="403" spans="1:1">
      <c r="A403" s="254"/>
    </row>
    <row r="404" spans="1:1">
      <c r="A404" s="254"/>
    </row>
    <row r="405" spans="1:1">
      <c r="A405" s="254"/>
    </row>
    <row r="406" spans="1:1">
      <c r="A406" s="254"/>
    </row>
    <row r="407" spans="1:1">
      <c r="A407" s="254"/>
    </row>
    <row r="408" spans="1:1">
      <c r="A408" s="254"/>
    </row>
    <row r="409" spans="1:1">
      <c r="A409" s="254"/>
    </row>
    <row r="410" spans="1:1">
      <c r="A410" s="254"/>
    </row>
    <row r="411" spans="1:1">
      <c r="A411" s="254"/>
    </row>
    <row r="412" spans="1:1">
      <c r="A412" s="254"/>
    </row>
    <row r="413" spans="1:1">
      <c r="A413" s="254"/>
    </row>
    <row r="414" spans="1:1">
      <c r="A414" s="254"/>
    </row>
    <row r="415" spans="1:1">
      <c r="A415" s="254"/>
    </row>
    <row r="416" spans="1:1">
      <c r="A416" s="254"/>
    </row>
    <row r="417" spans="1:1">
      <c r="A417" s="254"/>
    </row>
    <row r="418" spans="1:1">
      <c r="A418" s="254"/>
    </row>
    <row r="419" spans="1:1">
      <c r="A419" s="254"/>
    </row>
    <row r="420" spans="1:1">
      <c r="A420" s="254"/>
    </row>
    <row r="421" spans="1:1">
      <c r="A421" s="254"/>
    </row>
    <row r="422" spans="1:1">
      <c r="A422" s="254"/>
    </row>
    <row r="423" spans="1:1">
      <c r="A423" s="254"/>
    </row>
    <row r="424" spans="1:1">
      <c r="A424" s="254"/>
    </row>
    <row r="425" spans="1:1">
      <c r="A425" s="254"/>
    </row>
    <row r="426" spans="1:1">
      <c r="A426" s="254"/>
    </row>
    <row r="427" spans="1:1">
      <c r="A427" s="254"/>
    </row>
    <row r="428" spans="1:1">
      <c r="A428" s="254"/>
    </row>
    <row r="429" spans="1:1">
      <c r="A429" s="254"/>
    </row>
    <row r="430" spans="1:1">
      <c r="A430" s="254"/>
    </row>
    <row r="431" spans="1:1">
      <c r="A431" s="254"/>
    </row>
    <row r="432" spans="1:1">
      <c r="A432" s="254"/>
    </row>
    <row r="433" spans="1:1">
      <c r="A433" s="254"/>
    </row>
    <row r="434" spans="1:1">
      <c r="A434" s="254"/>
    </row>
    <row r="435" spans="1:1">
      <c r="A435" s="254"/>
    </row>
    <row r="436" spans="1:1">
      <c r="A436" s="254"/>
    </row>
    <row r="437" spans="1:1">
      <c r="A437" s="254"/>
    </row>
    <row r="438" spans="1:1">
      <c r="A438" s="254"/>
    </row>
    <row r="439" spans="1:1">
      <c r="A439" s="254"/>
    </row>
    <row r="440" spans="1:1">
      <c r="A440" s="254"/>
    </row>
    <row r="441" spans="1:1">
      <c r="A441" s="254"/>
    </row>
    <row r="442" spans="1:1">
      <c r="A442" s="254"/>
    </row>
    <row r="443" spans="1:1">
      <c r="A443" s="254"/>
    </row>
    <row r="444" spans="1:1">
      <c r="A444" s="254"/>
    </row>
    <row r="445" spans="1:1">
      <c r="A445" s="254"/>
    </row>
    <row r="446" spans="1:1">
      <c r="A446" s="254"/>
    </row>
    <row r="447" spans="1:1">
      <c r="A447" s="254"/>
    </row>
    <row r="448" spans="1:1">
      <c r="A448" s="254"/>
    </row>
    <row r="449" spans="1:1">
      <c r="A449" s="254"/>
    </row>
    <row r="450" spans="1:1">
      <c r="A450" s="254"/>
    </row>
    <row r="451" spans="1:1">
      <c r="A451" s="254"/>
    </row>
    <row r="452" spans="1:1">
      <c r="A452" s="254"/>
    </row>
    <row r="453" spans="1:1">
      <c r="A453" s="254"/>
    </row>
    <row r="454" spans="1:1">
      <c r="A454" s="254"/>
    </row>
    <row r="455" spans="1:1">
      <c r="A455" s="254"/>
    </row>
    <row r="456" spans="1:1">
      <c r="A456" s="254"/>
    </row>
    <row r="457" spans="1:1">
      <c r="A457" s="254"/>
    </row>
    <row r="458" spans="1:1">
      <c r="A458" s="254"/>
    </row>
    <row r="459" spans="1:1">
      <c r="A459" s="254"/>
    </row>
    <row r="460" spans="1:1">
      <c r="A460" s="254"/>
    </row>
    <row r="461" spans="1:1">
      <c r="A461" s="254"/>
    </row>
    <row r="462" spans="1:1">
      <c r="A462" s="254"/>
    </row>
    <row r="463" spans="1:1">
      <c r="A463" s="254"/>
    </row>
    <row r="464" spans="1:1">
      <c r="A464" s="254"/>
    </row>
    <row r="465" spans="1:1">
      <c r="A465" s="254"/>
    </row>
    <row r="466" spans="1:1">
      <c r="A466" s="254"/>
    </row>
    <row r="467" spans="1:1">
      <c r="A467" s="254"/>
    </row>
    <row r="468" spans="1:1">
      <c r="A468" s="254"/>
    </row>
    <row r="469" spans="1:1">
      <c r="A469" s="254"/>
    </row>
    <row r="470" spans="1:1">
      <c r="A470" s="254"/>
    </row>
    <row r="471" spans="1:1">
      <c r="A471" s="254"/>
    </row>
    <row r="472" spans="1:1">
      <c r="A472" s="254"/>
    </row>
    <row r="473" spans="1:1">
      <c r="A473" s="254"/>
    </row>
    <row r="474" spans="1:1">
      <c r="A474" s="254"/>
    </row>
    <row r="475" spans="1:1">
      <c r="A475" s="254"/>
    </row>
    <row r="476" spans="1:1">
      <c r="A476" s="254"/>
    </row>
    <row r="477" spans="1:1">
      <c r="A477" s="254"/>
    </row>
    <row r="478" spans="1:1">
      <c r="A478" s="254"/>
    </row>
    <row r="479" spans="1:1">
      <c r="A479" s="254"/>
    </row>
    <row r="480" spans="1:1">
      <c r="A480" s="254"/>
    </row>
    <row r="481" spans="1:1">
      <c r="A481" s="254"/>
    </row>
    <row r="482" spans="1:1">
      <c r="A482" s="254"/>
    </row>
    <row r="483" spans="1:1">
      <c r="A483" s="254"/>
    </row>
    <row r="484" spans="1:1">
      <c r="A484" s="254"/>
    </row>
    <row r="485" spans="1:1">
      <c r="A485" s="254"/>
    </row>
    <row r="486" spans="1:1">
      <c r="A486" s="254"/>
    </row>
    <row r="487" spans="1:1">
      <c r="A487" s="254"/>
    </row>
    <row r="488" spans="1:1">
      <c r="A488" s="254"/>
    </row>
    <row r="489" spans="1:1">
      <c r="A489" s="254"/>
    </row>
    <row r="490" spans="1:1">
      <c r="A490" s="254"/>
    </row>
    <row r="491" spans="1:1">
      <c r="A491" s="254"/>
    </row>
    <row r="492" spans="1:1">
      <c r="A492" s="254"/>
    </row>
    <row r="493" spans="1:1">
      <c r="A493" s="254"/>
    </row>
    <row r="494" spans="1:1">
      <c r="A494" s="254"/>
    </row>
    <row r="495" spans="1:1">
      <c r="A495" s="254"/>
    </row>
    <row r="496" spans="1:1">
      <c r="A496" s="254"/>
    </row>
    <row r="497" spans="1:1">
      <c r="A497" s="254"/>
    </row>
    <row r="498" spans="1:1">
      <c r="A498" s="254"/>
    </row>
    <row r="499" spans="1:1">
      <c r="A499" s="254"/>
    </row>
    <row r="500" spans="1:1">
      <c r="A500" s="254"/>
    </row>
    <row r="501" spans="1:1">
      <c r="A501" s="254"/>
    </row>
    <row r="502" spans="1:1">
      <c r="A502" s="254"/>
    </row>
    <row r="503" spans="1:1">
      <c r="A503" s="254"/>
    </row>
    <row r="504" spans="1:1">
      <c r="A504" s="254"/>
    </row>
    <row r="505" spans="1:1">
      <c r="A505" s="254"/>
    </row>
    <row r="506" spans="1:1">
      <c r="A506" s="254"/>
    </row>
    <row r="507" spans="1:1">
      <c r="A507" s="254"/>
    </row>
    <row r="508" spans="1:1">
      <c r="A508" s="254"/>
    </row>
    <row r="509" spans="1:1">
      <c r="A509" s="254"/>
    </row>
    <row r="510" spans="1:1">
      <c r="A510" s="254"/>
    </row>
    <row r="511" spans="1:1">
      <c r="A511" s="254"/>
    </row>
    <row r="512" spans="1:1">
      <c r="A512" s="254"/>
    </row>
    <row r="513" spans="1:1">
      <c r="A513" s="254"/>
    </row>
    <row r="514" spans="1:1">
      <c r="A514" s="254"/>
    </row>
    <row r="515" spans="1:1">
      <c r="A515" s="254"/>
    </row>
    <row r="516" spans="1:1">
      <c r="A516" s="254"/>
    </row>
    <row r="517" spans="1:1">
      <c r="A517" s="254"/>
    </row>
    <row r="518" spans="1:1">
      <c r="A518" s="254"/>
    </row>
    <row r="519" spans="1:1">
      <c r="A519" s="254"/>
    </row>
    <row r="520" spans="1:1">
      <c r="A520" s="254"/>
    </row>
    <row r="521" spans="1:1">
      <c r="A521" s="254"/>
    </row>
    <row r="522" spans="1:1">
      <c r="A522" s="254"/>
    </row>
    <row r="523" spans="1:1">
      <c r="A523" s="254"/>
    </row>
    <row r="524" spans="1:1">
      <c r="A524" s="254"/>
    </row>
    <row r="525" spans="1:1">
      <c r="A525" s="254"/>
    </row>
    <row r="526" spans="1:1">
      <c r="A526" s="254"/>
    </row>
    <row r="527" spans="1:1">
      <c r="A527" s="254"/>
    </row>
    <row r="528" spans="1:1">
      <c r="A528" s="254"/>
    </row>
    <row r="529" spans="1:1">
      <c r="A529" s="254"/>
    </row>
    <row r="530" spans="1:1">
      <c r="A530" s="254"/>
    </row>
    <row r="531" spans="1:1">
      <c r="A531" s="254"/>
    </row>
    <row r="532" spans="1:1">
      <c r="A532" s="254"/>
    </row>
    <row r="533" spans="1:1">
      <c r="A533" s="254"/>
    </row>
    <row r="534" spans="1:1">
      <c r="A534" s="254"/>
    </row>
    <row r="535" spans="1:1">
      <c r="A535" s="254"/>
    </row>
    <row r="536" spans="1:1">
      <c r="A536" s="254"/>
    </row>
    <row r="537" spans="1:1">
      <c r="A537" s="254"/>
    </row>
    <row r="538" spans="1:1">
      <c r="A538" s="254"/>
    </row>
    <row r="539" spans="1:1">
      <c r="A539" s="254"/>
    </row>
    <row r="540" spans="1:1">
      <c r="A540" s="254"/>
    </row>
    <row r="541" spans="1:1">
      <c r="A541" s="254"/>
    </row>
    <row r="542" spans="1:1">
      <c r="A542" s="254"/>
    </row>
    <row r="543" spans="1:1">
      <c r="A543" s="254"/>
    </row>
    <row r="544" spans="1:1">
      <c r="A544" s="254"/>
    </row>
    <row r="545" spans="1:1">
      <c r="A545" s="254"/>
    </row>
    <row r="546" spans="1:1">
      <c r="A546" s="254"/>
    </row>
    <row r="547" spans="1:1">
      <c r="A547" s="254"/>
    </row>
    <row r="548" spans="1:1">
      <c r="A548" s="254"/>
    </row>
    <row r="549" spans="1:1">
      <c r="A549" s="254"/>
    </row>
    <row r="550" spans="1:1">
      <c r="A550" s="254"/>
    </row>
    <row r="551" spans="1:1">
      <c r="A551" s="254"/>
    </row>
    <row r="552" spans="1:1">
      <c r="A552" s="254"/>
    </row>
    <row r="553" spans="1:1">
      <c r="A553" s="254"/>
    </row>
    <row r="554" spans="1:1">
      <c r="A554" s="254"/>
    </row>
    <row r="555" spans="1:1">
      <c r="A555" s="254"/>
    </row>
    <row r="556" spans="1:1">
      <c r="A556" s="254"/>
    </row>
    <row r="557" spans="1:1">
      <c r="A557" s="254"/>
    </row>
    <row r="558" spans="1:1">
      <c r="A558" s="254"/>
    </row>
    <row r="559" spans="1:1">
      <c r="A559" s="254"/>
    </row>
    <row r="560" spans="1:1">
      <c r="A560" s="254"/>
    </row>
    <row r="561" spans="1:1">
      <c r="A561" s="254"/>
    </row>
    <row r="562" spans="1:1">
      <c r="A562" s="254"/>
    </row>
    <row r="563" spans="1:1">
      <c r="A563" s="254"/>
    </row>
    <row r="564" spans="1:1">
      <c r="A564" s="254"/>
    </row>
    <row r="565" spans="1:1">
      <c r="A565" s="254"/>
    </row>
    <row r="566" spans="1:1">
      <c r="A566" s="254"/>
    </row>
    <row r="567" spans="1:1">
      <c r="A567" s="254"/>
    </row>
    <row r="568" spans="1:1">
      <c r="A568" s="254"/>
    </row>
    <row r="569" spans="1:1">
      <c r="A569" s="254"/>
    </row>
    <row r="570" spans="1:1">
      <c r="A570" s="254"/>
    </row>
    <row r="571" spans="1:1">
      <c r="A571" s="254"/>
    </row>
    <row r="572" spans="1:1">
      <c r="A572" s="254"/>
    </row>
    <row r="573" spans="1:1">
      <c r="A573" s="254"/>
    </row>
    <row r="574" spans="1:1">
      <c r="A574" s="254"/>
    </row>
    <row r="575" spans="1:1">
      <c r="A575" s="254"/>
    </row>
    <row r="576" spans="1:1">
      <c r="A576" s="254"/>
    </row>
    <row r="577" spans="1:1">
      <c r="A577" s="254"/>
    </row>
    <row r="578" spans="1:1">
      <c r="A578" s="254"/>
    </row>
    <row r="579" spans="1:1">
      <c r="A579" s="254"/>
    </row>
    <row r="580" spans="1:1">
      <c r="A580" s="254"/>
    </row>
    <row r="581" spans="1:1">
      <c r="A581" s="254"/>
    </row>
    <row r="582" spans="1:1">
      <c r="A582" s="254"/>
    </row>
    <row r="583" spans="1:1">
      <c r="A583" s="254"/>
    </row>
    <row r="584" spans="1:1">
      <c r="A584" s="254"/>
    </row>
    <row r="585" spans="1:1">
      <c r="A585" s="254"/>
    </row>
    <row r="586" spans="1:1">
      <c r="A586" s="254"/>
    </row>
    <row r="587" spans="1:1">
      <c r="A587" s="254"/>
    </row>
    <row r="588" spans="1:1">
      <c r="A588" s="254"/>
    </row>
    <row r="589" spans="1:1">
      <c r="A589" s="254"/>
    </row>
    <row r="590" spans="1:1">
      <c r="A590" s="254"/>
    </row>
    <row r="591" spans="1:1">
      <c r="A591" s="254"/>
    </row>
    <row r="592" spans="1:1">
      <c r="A592" s="254"/>
    </row>
    <row r="593" spans="1:1">
      <c r="A593" s="254"/>
    </row>
    <row r="594" spans="1:1">
      <c r="A594" s="254"/>
    </row>
    <row r="595" spans="1:1">
      <c r="A595" s="254"/>
    </row>
    <row r="596" spans="1:1">
      <c r="A596" s="254"/>
    </row>
    <row r="597" spans="1:1">
      <c r="A597" s="254"/>
    </row>
    <row r="598" spans="1:1">
      <c r="A598" s="254"/>
    </row>
    <row r="599" spans="1:1">
      <c r="A599" s="254"/>
    </row>
    <row r="600" spans="1:1">
      <c r="A600" s="254"/>
    </row>
    <row r="601" spans="1:1">
      <c r="A601" s="254"/>
    </row>
    <row r="602" spans="1:1">
      <c r="A602" s="254"/>
    </row>
    <row r="603" spans="1:1">
      <c r="A603" s="254"/>
    </row>
    <row r="604" spans="1:1">
      <c r="A604" s="254"/>
    </row>
    <row r="605" spans="1:1">
      <c r="A605" s="254"/>
    </row>
    <row r="606" spans="1:1">
      <c r="A606" s="254"/>
    </row>
    <row r="607" spans="1:1">
      <c r="A607" s="254"/>
    </row>
    <row r="608" spans="1:1">
      <c r="A608" s="254"/>
    </row>
    <row r="609" spans="1:1">
      <c r="A609" s="254"/>
    </row>
    <row r="610" spans="1:1">
      <c r="A610" s="254"/>
    </row>
    <row r="611" spans="1:1">
      <c r="A611" s="254"/>
    </row>
    <row r="612" spans="1:1">
      <c r="A612" s="254"/>
    </row>
    <row r="613" spans="1:1">
      <c r="A613" s="254"/>
    </row>
    <row r="614" spans="1:1">
      <c r="A614" s="254"/>
    </row>
    <row r="615" spans="1:1">
      <c r="A615" s="254"/>
    </row>
    <row r="616" spans="1:1">
      <c r="A616" s="254"/>
    </row>
    <row r="617" spans="1:1">
      <c r="A617" s="254"/>
    </row>
    <row r="618" spans="1:1">
      <c r="A618" s="254"/>
    </row>
    <row r="619" spans="1:1">
      <c r="A619" s="254"/>
    </row>
    <row r="620" spans="1:1">
      <c r="A620" s="254"/>
    </row>
    <row r="621" spans="1:1">
      <c r="A621" s="254"/>
    </row>
    <row r="622" spans="1:1">
      <c r="A622" s="254"/>
    </row>
    <row r="623" spans="1:1">
      <c r="A623" s="254"/>
    </row>
    <row r="624" spans="1:1">
      <c r="A624" s="254"/>
    </row>
    <row r="625" spans="1:1">
      <c r="A625" s="254"/>
    </row>
    <row r="626" spans="1:1">
      <c r="A626" s="254"/>
    </row>
    <row r="627" spans="1:1">
      <c r="A627" s="254"/>
    </row>
    <row r="628" spans="1:1">
      <c r="A628" s="254"/>
    </row>
    <row r="629" spans="1:1">
      <c r="A629" s="254"/>
    </row>
    <row r="630" spans="1:1">
      <c r="A630" s="254"/>
    </row>
    <row r="631" spans="1:1">
      <c r="A631" s="254"/>
    </row>
    <row r="632" spans="1:1">
      <c r="A632" s="254"/>
    </row>
    <row r="633" spans="1:1">
      <c r="A633" s="254"/>
    </row>
    <row r="634" spans="1:1">
      <c r="A634" s="254"/>
    </row>
    <row r="635" spans="1:1">
      <c r="A635" s="254"/>
    </row>
    <row r="636" spans="1:1">
      <c r="A636" s="254"/>
    </row>
    <row r="637" spans="1:1">
      <c r="A637" s="254"/>
    </row>
    <row r="638" spans="1:1">
      <c r="A638" s="254"/>
    </row>
    <row r="639" spans="1:1">
      <c r="A639" s="254"/>
    </row>
    <row r="640" spans="1:1">
      <c r="A640" s="254"/>
    </row>
    <row r="641" spans="1:1">
      <c r="A641" s="254"/>
    </row>
    <row r="642" spans="1:1">
      <c r="A642" s="254"/>
    </row>
    <row r="643" spans="1:1">
      <c r="A643" s="254"/>
    </row>
    <row r="644" spans="1:1">
      <c r="A644" s="254"/>
    </row>
    <row r="645" spans="1:1">
      <c r="A645" s="254"/>
    </row>
    <row r="646" spans="1:1">
      <c r="A646" s="254"/>
    </row>
    <row r="647" spans="1:1">
      <c r="A647" s="254"/>
    </row>
    <row r="648" spans="1:1">
      <c r="A648" s="254"/>
    </row>
    <row r="649" spans="1:1">
      <c r="A649" s="254"/>
    </row>
    <row r="650" spans="1:1">
      <c r="A650" s="254"/>
    </row>
    <row r="651" spans="1:1">
      <c r="A651" s="254"/>
    </row>
    <row r="652" spans="1:1">
      <c r="A652" s="254"/>
    </row>
    <row r="653" spans="1:1">
      <c r="A653" s="254"/>
    </row>
    <row r="654" spans="1:1">
      <c r="A654" s="254"/>
    </row>
    <row r="655" spans="1:1">
      <c r="A655" s="254"/>
    </row>
    <row r="656" spans="1:1">
      <c r="A656" s="254"/>
    </row>
    <row r="657" spans="1:1">
      <c r="A657" s="254"/>
    </row>
    <row r="658" spans="1:1">
      <c r="A658" s="254"/>
    </row>
    <row r="659" spans="1:1">
      <c r="A659" s="254"/>
    </row>
    <row r="660" spans="1:1">
      <c r="A660" s="254"/>
    </row>
    <row r="661" spans="1:1">
      <c r="A661" s="254"/>
    </row>
    <row r="662" spans="1:1">
      <c r="A662" s="254"/>
    </row>
    <row r="663" spans="1:1">
      <c r="A663" s="254"/>
    </row>
    <row r="664" spans="1:1">
      <c r="A664" s="254"/>
    </row>
    <row r="665" spans="1:1">
      <c r="A665" s="254"/>
    </row>
    <row r="666" spans="1:1">
      <c r="A666" s="254"/>
    </row>
    <row r="667" spans="1:1">
      <c r="A667" s="254"/>
    </row>
    <row r="668" spans="1:1">
      <c r="A668" s="254"/>
    </row>
    <row r="669" spans="1:1">
      <c r="A669" s="254"/>
    </row>
    <row r="670" spans="1:1">
      <c r="A670" s="254"/>
    </row>
    <row r="671" spans="1:1">
      <c r="A671" s="254"/>
    </row>
    <row r="672" spans="1:1">
      <c r="A672" s="254"/>
    </row>
    <row r="673" spans="1:1">
      <c r="A673" s="254"/>
    </row>
    <row r="674" spans="1:1">
      <c r="A674" s="254"/>
    </row>
    <row r="675" spans="1:1">
      <c r="A675" s="254"/>
    </row>
    <row r="676" spans="1:1">
      <c r="A676" s="254"/>
    </row>
    <row r="677" spans="1:1">
      <c r="A677" s="254"/>
    </row>
    <row r="678" spans="1:1">
      <c r="A678" s="254"/>
    </row>
    <row r="679" spans="1:1">
      <c r="A679" s="254"/>
    </row>
    <row r="680" spans="1:1">
      <c r="A680" s="254"/>
    </row>
    <row r="681" spans="1:1">
      <c r="A681" s="254"/>
    </row>
    <row r="682" spans="1:1">
      <c r="A682" s="254"/>
    </row>
    <row r="683" spans="1:1">
      <c r="A683" s="254"/>
    </row>
    <row r="684" spans="1:1">
      <c r="A684" s="254"/>
    </row>
    <row r="685" spans="1:1">
      <c r="A685" s="254"/>
    </row>
    <row r="686" spans="1:1">
      <c r="A686" s="254"/>
    </row>
    <row r="687" spans="1:1">
      <c r="A687" s="254"/>
    </row>
    <row r="688" spans="1:1">
      <c r="A688" s="254"/>
    </row>
    <row r="689" spans="1:1">
      <c r="A689" s="254"/>
    </row>
    <row r="690" spans="1:1">
      <c r="A690" s="254"/>
    </row>
    <row r="691" spans="1:1">
      <c r="A691" s="254"/>
    </row>
    <row r="692" spans="1:1">
      <c r="A692" s="254"/>
    </row>
    <row r="693" spans="1:1">
      <c r="A693" s="254"/>
    </row>
    <row r="694" spans="1:1">
      <c r="A694" s="254"/>
    </row>
    <row r="695" spans="1:1">
      <c r="A695" s="254"/>
    </row>
    <row r="696" spans="1:1">
      <c r="A696" s="254"/>
    </row>
    <row r="697" spans="1:1">
      <c r="A697" s="254"/>
    </row>
    <row r="698" spans="1:1">
      <c r="A698" s="254"/>
    </row>
    <row r="699" spans="1:1">
      <c r="A699" s="254"/>
    </row>
    <row r="700" spans="1:1">
      <c r="A700" s="254"/>
    </row>
    <row r="701" spans="1:1">
      <c r="A701" s="254"/>
    </row>
    <row r="702" spans="1:1">
      <c r="A702" s="254"/>
    </row>
    <row r="703" spans="1:1">
      <c r="A703" s="254"/>
    </row>
    <row r="704" spans="1:1">
      <c r="A704" s="254"/>
    </row>
    <row r="705" spans="1:1">
      <c r="A705" s="254"/>
    </row>
    <row r="706" spans="1:1">
      <c r="A706" s="254"/>
    </row>
    <row r="707" spans="1:1">
      <c r="A707" s="254"/>
    </row>
    <row r="708" spans="1:1">
      <c r="A708" s="254"/>
    </row>
    <row r="709" spans="1:1">
      <c r="A709" s="254"/>
    </row>
    <row r="710" spans="1:1">
      <c r="A710" s="254"/>
    </row>
    <row r="711" spans="1:1">
      <c r="A711" s="254"/>
    </row>
    <row r="712" spans="1:1">
      <c r="A712" s="254"/>
    </row>
    <row r="713" spans="1:1">
      <c r="A713" s="254"/>
    </row>
    <row r="714" spans="1:1">
      <c r="A714" s="254"/>
    </row>
    <row r="715" spans="1:1">
      <c r="A715" s="254"/>
    </row>
    <row r="716" spans="1:1">
      <c r="A716" s="254"/>
    </row>
    <row r="717" spans="1:1">
      <c r="A717" s="254"/>
    </row>
    <row r="718" spans="1:1">
      <c r="A718" s="254"/>
    </row>
    <row r="719" spans="1:1">
      <c r="A719" s="254"/>
    </row>
    <row r="720" spans="1:1">
      <c r="A720" s="254"/>
    </row>
    <row r="721" spans="1:1">
      <c r="A721" s="254"/>
    </row>
    <row r="722" spans="1:1">
      <c r="A722" s="254"/>
    </row>
    <row r="723" spans="1:1">
      <c r="A723" s="254"/>
    </row>
    <row r="724" spans="1:1">
      <c r="A724" s="254"/>
    </row>
    <row r="725" spans="1:1">
      <c r="A725" s="254"/>
    </row>
    <row r="726" spans="1:1">
      <c r="A726" s="254"/>
    </row>
    <row r="727" spans="1:1">
      <c r="A727" s="254"/>
    </row>
    <row r="728" spans="1:1">
      <c r="A728" s="254"/>
    </row>
    <row r="729" spans="1:1">
      <c r="A729" s="254"/>
    </row>
    <row r="730" spans="1:1">
      <c r="A730" s="254"/>
    </row>
    <row r="731" spans="1:1">
      <c r="A731" s="254"/>
    </row>
    <row r="732" spans="1:1">
      <c r="A732" s="254"/>
    </row>
    <row r="733" spans="1:1">
      <c r="A733" s="254"/>
    </row>
    <row r="734" spans="1:1">
      <c r="A734" s="254"/>
    </row>
    <row r="735" spans="1:1">
      <c r="A735" s="254"/>
    </row>
    <row r="736" spans="1:1">
      <c r="A736" s="254"/>
    </row>
    <row r="737" spans="1:1">
      <c r="A737" s="254"/>
    </row>
    <row r="738" spans="1:1">
      <c r="A738" s="254"/>
    </row>
    <row r="739" spans="1:1">
      <c r="A739" s="254"/>
    </row>
    <row r="740" spans="1:1">
      <c r="A740" s="254"/>
    </row>
    <row r="741" spans="1:1">
      <c r="A741" s="254"/>
    </row>
    <row r="742" spans="1:1">
      <c r="A742" s="254"/>
    </row>
    <row r="743" spans="1:1">
      <c r="A743" s="254"/>
    </row>
    <row r="744" spans="1:1">
      <c r="A744" s="254"/>
    </row>
    <row r="745" spans="1:1">
      <c r="A745" s="254"/>
    </row>
    <row r="746" spans="1:1">
      <c r="A746" s="254"/>
    </row>
    <row r="747" spans="1:1">
      <c r="A747" s="254"/>
    </row>
    <row r="748" spans="1:1">
      <c r="A748" s="254"/>
    </row>
    <row r="749" spans="1:1">
      <c r="A749" s="254"/>
    </row>
    <row r="750" spans="1:1">
      <c r="A750" s="254"/>
    </row>
    <row r="751" spans="1:1">
      <c r="A751" s="254"/>
    </row>
    <row r="752" spans="1:1">
      <c r="A752" s="254"/>
    </row>
    <row r="753" spans="1:1">
      <c r="A753" s="254"/>
    </row>
    <row r="754" spans="1:1">
      <c r="A754" s="254"/>
    </row>
    <row r="755" spans="1:1">
      <c r="A755" s="254"/>
    </row>
    <row r="756" spans="1:1">
      <c r="A756" s="254"/>
    </row>
    <row r="757" spans="1:1">
      <c r="A757" s="254"/>
    </row>
    <row r="758" spans="1:1">
      <c r="A758" s="254"/>
    </row>
    <row r="759" spans="1:1">
      <c r="A759" s="254"/>
    </row>
    <row r="760" spans="1:1">
      <c r="A760" s="254"/>
    </row>
    <row r="761" spans="1:1">
      <c r="A761" s="254"/>
    </row>
    <row r="762" spans="1:1">
      <c r="A762" s="254"/>
    </row>
    <row r="763" spans="1:1">
      <c r="A763" s="254"/>
    </row>
    <row r="764" spans="1:1">
      <c r="A764" s="254"/>
    </row>
    <row r="765" spans="1:1">
      <c r="A765" s="254"/>
    </row>
    <row r="766" spans="1:1">
      <c r="A766" s="254"/>
    </row>
    <row r="767" spans="1:1">
      <c r="A767" s="254"/>
    </row>
    <row r="768" spans="1:1">
      <c r="A768" s="254"/>
    </row>
    <row r="769" spans="1:1">
      <c r="A769" s="254"/>
    </row>
    <row r="770" spans="1:1">
      <c r="A770" s="254"/>
    </row>
    <row r="771" spans="1:1">
      <c r="A771" s="254"/>
    </row>
    <row r="772" spans="1:1">
      <c r="A772" s="254"/>
    </row>
    <row r="773" spans="1:1">
      <c r="A773" s="254"/>
    </row>
    <row r="774" spans="1:1">
      <c r="A774" s="254"/>
    </row>
    <row r="775" spans="1:1">
      <c r="A775" s="254"/>
    </row>
    <row r="776" spans="1:1">
      <c r="A776" s="254"/>
    </row>
    <row r="777" spans="1:1">
      <c r="A777" s="254"/>
    </row>
    <row r="778" spans="1:1">
      <c r="A778" s="254"/>
    </row>
    <row r="779" spans="1:1">
      <c r="A779" s="254"/>
    </row>
    <row r="780" spans="1:1">
      <c r="A780" s="254"/>
    </row>
    <row r="781" spans="1:1">
      <c r="A781" s="254"/>
    </row>
    <row r="782" spans="1:1">
      <c r="A782" s="254"/>
    </row>
    <row r="783" spans="1:1">
      <c r="A783" s="254"/>
    </row>
    <row r="784" spans="1:1">
      <c r="A784" s="254"/>
    </row>
    <row r="785" spans="1:1">
      <c r="A785" s="254"/>
    </row>
    <row r="786" spans="1:1">
      <c r="A786" s="254"/>
    </row>
    <row r="787" spans="1:1">
      <c r="A787" s="254"/>
    </row>
    <row r="788" spans="1:1">
      <c r="A788" s="254"/>
    </row>
    <row r="789" spans="1:1">
      <c r="A789" s="254"/>
    </row>
    <row r="790" spans="1:1">
      <c r="A790" s="254"/>
    </row>
    <row r="791" spans="1:1">
      <c r="A791" s="254"/>
    </row>
    <row r="792" spans="1:1">
      <c r="A792" s="254"/>
    </row>
    <row r="793" spans="1:1">
      <c r="A793" s="254"/>
    </row>
    <row r="794" spans="1:1">
      <c r="A794" s="254"/>
    </row>
    <row r="795" spans="1:1">
      <c r="A795" s="254"/>
    </row>
    <row r="796" spans="1:1">
      <c r="A796" s="254"/>
    </row>
    <row r="797" spans="1:1">
      <c r="A797" s="254"/>
    </row>
    <row r="798" spans="1:1">
      <c r="A798" s="254"/>
    </row>
    <row r="799" spans="1:1">
      <c r="A799" s="254"/>
    </row>
    <row r="800" spans="1:1">
      <c r="A800" s="254"/>
    </row>
    <row r="801" spans="1:1">
      <c r="A801" s="254"/>
    </row>
    <row r="802" spans="1:1">
      <c r="A802" s="254"/>
    </row>
    <row r="803" spans="1:1">
      <c r="A803" s="254"/>
    </row>
    <row r="804" spans="1:1">
      <c r="A804" s="254"/>
    </row>
    <row r="805" spans="1:1">
      <c r="A805" s="254"/>
    </row>
    <row r="806" spans="1:1">
      <c r="A806" s="254"/>
    </row>
    <row r="807" spans="1:1">
      <c r="A807" s="254"/>
    </row>
    <row r="808" spans="1:1">
      <c r="A808" s="254"/>
    </row>
    <row r="809" spans="1:1">
      <c r="A809" s="254"/>
    </row>
    <row r="810" spans="1:1">
      <c r="A810" s="254"/>
    </row>
    <row r="811" spans="1:1">
      <c r="A811" s="254"/>
    </row>
    <row r="812" spans="1:1">
      <c r="A812" s="254"/>
    </row>
    <row r="813" spans="1:1">
      <c r="A813" s="254"/>
    </row>
    <row r="814" spans="1:1">
      <c r="A814" s="254"/>
    </row>
    <row r="815" spans="1:1">
      <c r="A815" s="254"/>
    </row>
    <row r="816" spans="1:1">
      <c r="A816" s="254"/>
    </row>
    <row r="817" spans="1:1">
      <c r="A817" s="254"/>
    </row>
    <row r="818" spans="1:1">
      <c r="A818" s="254"/>
    </row>
    <row r="819" spans="1:1">
      <c r="A819" s="254"/>
    </row>
    <row r="820" spans="1:1">
      <c r="A820" s="254"/>
    </row>
    <row r="821" spans="1:1">
      <c r="A821" s="254"/>
    </row>
    <row r="822" spans="1:1">
      <c r="A822" s="254"/>
    </row>
    <row r="823" spans="1:1">
      <c r="A823" s="254"/>
    </row>
    <row r="824" spans="1:1">
      <c r="A824" s="254"/>
    </row>
    <row r="825" spans="1:1">
      <c r="A825" s="254"/>
    </row>
    <row r="826" spans="1:1">
      <c r="A826" s="254"/>
    </row>
    <row r="827" spans="1:1">
      <c r="A827" s="254"/>
    </row>
    <row r="828" spans="1:1">
      <c r="A828" s="254"/>
    </row>
    <row r="829" spans="1:1">
      <c r="A829" s="254"/>
    </row>
    <row r="830" spans="1:1">
      <c r="A830" s="254"/>
    </row>
    <row r="831" spans="1:1">
      <c r="A831" s="254"/>
    </row>
    <row r="832" spans="1:1">
      <c r="A832" s="254"/>
    </row>
    <row r="833" spans="1:1">
      <c r="A833" s="254"/>
    </row>
    <row r="834" spans="1:1">
      <c r="A834" s="254"/>
    </row>
    <row r="835" spans="1:1">
      <c r="A835" s="254"/>
    </row>
    <row r="836" spans="1:1">
      <c r="A836" s="254"/>
    </row>
    <row r="837" spans="1:1">
      <c r="A837" s="254"/>
    </row>
    <row r="838" spans="1:1">
      <c r="A838" s="254"/>
    </row>
    <row r="839" spans="1:1">
      <c r="A839" s="254"/>
    </row>
    <row r="840" spans="1:1">
      <c r="A840" s="254"/>
    </row>
    <row r="841" spans="1:1">
      <c r="A841" s="254"/>
    </row>
    <row r="842" spans="1:1">
      <c r="A842" s="254"/>
    </row>
    <row r="843" spans="1:1">
      <c r="A843" s="254"/>
    </row>
    <row r="844" spans="1:1">
      <c r="A844" s="254"/>
    </row>
    <row r="845" spans="1:1">
      <c r="A845" s="254"/>
    </row>
    <row r="846" spans="1:1">
      <c r="A846" s="254"/>
    </row>
    <row r="847" spans="1:1">
      <c r="A847" s="254"/>
    </row>
    <row r="848" spans="1:1">
      <c r="A848" s="254"/>
    </row>
    <row r="849" spans="1:1">
      <c r="A849" s="254"/>
    </row>
    <row r="850" spans="1:1">
      <c r="A850" s="254"/>
    </row>
    <row r="851" spans="1:1">
      <c r="A851" s="254"/>
    </row>
    <row r="852" spans="1:1">
      <c r="A852" s="254"/>
    </row>
    <row r="853" spans="1:1">
      <c r="A853" s="254"/>
    </row>
    <row r="854" spans="1:1">
      <c r="A854" s="254"/>
    </row>
    <row r="855" spans="1:1">
      <c r="A855" s="254"/>
    </row>
    <row r="856" spans="1:1">
      <c r="A856" s="254"/>
    </row>
    <row r="857" spans="1:1">
      <c r="A857" s="254"/>
    </row>
    <row r="858" spans="1:1">
      <c r="A858" s="254"/>
    </row>
    <row r="859" spans="1:1">
      <c r="A859" s="254"/>
    </row>
    <row r="860" spans="1:1">
      <c r="A860" s="254"/>
    </row>
    <row r="861" spans="1:1">
      <c r="A861" s="254"/>
    </row>
    <row r="862" spans="1:1">
      <c r="A862" s="254"/>
    </row>
    <row r="863" spans="1:1">
      <c r="A863" s="254"/>
    </row>
    <row r="864" spans="1:1">
      <c r="A864" s="254"/>
    </row>
    <row r="865" spans="1:1">
      <c r="A865" s="254"/>
    </row>
    <row r="866" spans="1:1">
      <c r="A866" s="254"/>
    </row>
    <row r="867" spans="1:1">
      <c r="A867" s="254"/>
    </row>
  </sheetData>
  <mergeCells count="18">
    <mergeCell ref="M34:M35"/>
    <mergeCell ref="A1:M1"/>
    <mergeCell ref="A2:M2"/>
    <mergeCell ref="A3:M3"/>
    <mergeCell ref="A5:A6"/>
    <mergeCell ref="B5:B6"/>
    <mergeCell ref="C5:C6"/>
    <mergeCell ref="D5:D6"/>
    <mergeCell ref="E5:E6"/>
    <mergeCell ref="M31:M33"/>
    <mergeCell ref="F5:K5"/>
    <mergeCell ref="L5:L6"/>
    <mergeCell ref="M5:M6"/>
    <mergeCell ref="M7:M12"/>
    <mergeCell ref="M13:M18"/>
    <mergeCell ref="M19:M22"/>
    <mergeCell ref="M23:M25"/>
    <mergeCell ref="M26:M29"/>
  </mergeCells>
  <pageMargins left="0.27559055118110237" right="0.11811023622047245" top="0.43307086614173229" bottom="0.31496062992125984" header="0.43307086614173229" footer="0.31496062992125984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3CB81-7D86-42CC-807B-1D232EDEEE37}">
  <dimension ref="A1:O867"/>
  <sheetViews>
    <sheetView tabSelected="1" zoomScale="115" zoomScaleNormal="115" workbookViewId="0">
      <selection activeCell="H7" sqref="H7"/>
    </sheetView>
  </sheetViews>
  <sheetFormatPr defaultColWidth="10" defaultRowHeight="13.2"/>
  <cols>
    <col min="1" max="1" width="3.15234375" style="256" customWidth="1"/>
    <col min="2" max="2" width="25.15234375" style="247" customWidth="1"/>
    <col min="3" max="3" width="5.921875" style="245" customWidth="1"/>
    <col min="4" max="4" width="6.765625" style="248" customWidth="1"/>
    <col min="5" max="5" width="6.4609375" style="245" customWidth="1"/>
    <col min="6" max="6" width="6.3046875" style="245" customWidth="1"/>
    <col min="7" max="7" width="6.3828125" style="245" customWidth="1"/>
    <col min="8" max="13" width="6.3046875" style="245" customWidth="1"/>
    <col min="14" max="14" width="5.921875" style="245" customWidth="1"/>
    <col min="15" max="15" width="9.23046875" style="249" customWidth="1"/>
    <col min="16" max="16384" width="10" style="245"/>
  </cols>
  <sheetData>
    <row r="1" spans="1:15" ht="20.399999999999999" customHeight="1">
      <c r="A1" s="269" t="s">
        <v>297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1:15" ht="21.6" customHeight="1">
      <c r="A2" s="269" t="s">
        <v>311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 ht="22.8" customHeight="1">
      <c r="A3" s="270" t="s">
        <v>302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 ht="15.6" customHeight="1">
      <c r="A4" s="246"/>
    </row>
    <row r="5" spans="1:15" ht="16.95" customHeight="1">
      <c r="A5" s="346" t="s">
        <v>21</v>
      </c>
      <c r="B5" s="347" t="s">
        <v>2</v>
      </c>
      <c r="C5" s="346" t="s">
        <v>253</v>
      </c>
      <c r="D5" s="348" t="s">
        <v>254</v>
      </c>
      <c r="E5" s="346" t="s">
        <v>255</v>
      </c>
      <c r="F5" s="349" t="s">
        <v>251</v>
      </c>
      <c r="G5" s="350"/>
      <c r="H5" s="350"/>
      <c r="I5" s="350"/>
      <c r="J5" s="350"/>
      <c r="K5" s="350"/>
      <c r="L5" s="350"/>
      <c r="M5" s="350"/>
      <c r="N5" s="350"/>
      <c r="O5" s="353" t="s">
        <v>257</v>
      </c>
    </row>
    <row r="6" spans="1:15" ht="39.6" customHeight="1">
      <c r="A6" s="354"/>
      <c r="B6" s="355"/>
      <c r="C6" s="356"/>
      <c r="D6" s="357"/>
      <c r="E6" s="356"/>
      <c r="F6" s="358" t="s">
        <v>258</v>
      </c>
      <c r="G6" s="358" t="s">
        <v>292</v>
      </c>
      <c r="H6" s="358" t="s">
        <v>291</v>
      </c>
      <c r="I6" s="358" t="s">
        <v>245</v>
      </c>
      <c r="J6" s="358" t="s">
        <v>246</v>
      </c>
      <c r="K6" s="358" t="s">
        <v>247</v>
      </c>
      <c r="L6" s="358" t="s">
        <v>248</v>
      </c>
      <c r="M6" s="358" t="s">
        <v>249</v>
      </c>
      <c r="N6" s="358" t="s">
        <v>250</v>
      </c>
      <c r="O6" s="352"/>
    </row>
    <row r="7" spans="1:15" s="249" customFormat="1" ht="31.2" customHeight="1">
      <c r="A7" s="290">
        <v>1</v>
      </c>
      <c r="B7" s="291" t="s">
        <v>304</v>
      </c>
      <c r="C7" s="292" t="s">
        <v>7</v>
      </c>
      <c r="D7" s="293">
        <f>D8+D9+D12</f>
        <v>466.80000000000007</v>
      </c>
      <c r="E7" s="294">
        <f t="shared" ref="E7:G7" si="0">E8+E9+E12</f>
        <v>513.5</v>
      </c>
      <c r="F7" s="294">
        <f t="shared" si="0"/>
        <v>106.71991999999999</v>
      </c>
      <c r="G7" s="294">
        <f t="shared" si="0"/>
        <v>156.35425599999999</v>
      </c>
      <c r="H7" s="294">
        <f>H8+H9+H12</f>
        <v>263.07417599999997</v>
      </c>
      <c r="I7" s="294">
        <f t="shared" ref="I7:N7" si="1">I8+I9+I12</f>
        <v>32.555357119999996</v>
      </c>
      <c r="J7" s="294">
        <f t="shared" si="1"/>
        <v>35.059615360000002</v>
      </c>
      <c r="K7" s="294">
        <f t="shared" si="1"/>
        <v>40.068131839999999</v>
      </c>
      <c r="L7" s="294">
        <f t="shared" si="1"/>
        <v>40.068131839999999</v>
      </c>
      <c r="M7" s="294">
        <f t="shared" si="1"/>
        <v>45.07664831999999</v>
      </c>
      <c r="N7" s="294">
        <f t="shared" si="1"/>
        <v>57.597939519999962</v>
      </c>
      <c r="O7" s="295" t="s">
        <v>259</v>
      </c>
    </row>
    <row r="8" spans="1:15" s="249" customFormat="1" ht="18" customHeight="1">
      <c r="A8" s="296"/>
      <c r="B8" s="322" t="s">
        <v>260</v>
      </c>
      <c r="C8" s="296" t="s">
        <v>7</v>
      </c>
      <c r="D8" s="265">
        <v>336.1</v>
      </c>
      <c r="E8" s="265">
        <v>361.5</v>
      </c>
      <c r="F8" s="265">
        <f>E8*18%</f>
        <v>65.069999999999993</v>
      </c>
      <c r="G8" s="265">
        <f>E8*32.12%</f>
        <v>116.1138</v>
      </c>
      <c r="H8" s="323">
        <f>F8+G8</f>
        <v>181.18379999999999</v>
      </c>
      <c r="I8" s="324">
        <v>23.441105999999998</v>
      </c>
      <c r="J8" s="324">
        <v>25.244267999999998</v>
      </c>
      <c r="K8" s="324">
        <v>28.850591999999999</v>
      </c>
      <c r="L8" s="324">
        <v>28.850591999999999</v>
      </c>
      <c r="M8" s="324">
        <v>32.456915999999993</v>
      </c>
      <c r="N8" s="324">
        <v>41.472725999999966</v>
      </c>
      <c r="O8" s="297"/>
    </row>
    <row r="9" spans="1:15" s="249" customFormat="1" ht="18" customHeight="1">
      <c r="A9" s="296"/>
      <c r="B9" s="322" t="s">
        <v>261</v>
      </c>
      <c r="C9" s="296" t="s">
        <v>7</v>
      </c>
      <c r="D9" s="265">
        <f>D10+D11</f>
        <v>45.6</v>
      </c>
      <c r="E9" s="265">
        <v>50.8</v>
      </c>
      <c r="F9" s="265">
        <f>F10+F11</f>
        <v>9.2659199999999995</v>
      </c>
      <c r="G9" s="265">
        <f>G10+G11</f>
        <v>14.727935999999996</v>
      </c>
      <c r="H9" s="265">
        <f>H10+H11</f>
        <v>23.993855999999997</v>
      </c>
      <c r="I9" s="324">
        <v>3.4847987200000001</v>
      </c>
      <c r="J9" s="324">
        <v>3.7528601600000004</v>
      </c>
      <c r="K9" s="324">
        <v>4.2889830399999997</v>
      </c>
      <c r="L9" s="324">
        <v>4.2889830399999997</v>
      </c>
      <c r="M9" s="324">
        <v>4.8251059199999995</v>
      </c>
      <c r="N9" s="325">
        <v>6.1654131200000002</v>
      </c>
      <c r="O9" s="297"/>
    </row>
    <row r="10" spans="1:15" s="263" customFormat="1" ht="18" customHeight="1">
      <c r="A10" s="298"/>
      <c r="B10" s="326" t="s">
        <v>262</v>
      </c>
      <c r="C10" s="298" t="s">
        <v>7</v>
      </c>
      <c r="D10" s="266">
        <v>13.68</v>
      </c>
      <c r="E10" s="266">
        <f>E9*30/100</f>
        <v>15.24</v>
      </c>
      <c r="F10" s="266">
        <f>E10*25.8%</f>
        <v>3.9319200000000003</v>
      </c>
      <c r="G10" s="266">
        <f>E10*28.25%</f>
        <v>4.3052999999999999</v>
      </c>
      <c r="H10" s="327">
        <f>F10+G10</f>
        <v>8.2372200000000007</v>
      </c>
      <c r="I10" s="328">
        <v>0.91036139999999999</v>
      </c>
      <c r="J10" s="328">
        <v>0.98038920000000007</v>
      </c>
      <c r="K10" s="328">
        <v>1.1204448</v>
      </c>
      <c r="L10" s="328">
        <v>1.1204448</v>
      </c>
      <c r="M10" s="328">
        <v>1.2605004</v>
      </c>
      <c r="N10" s="328">
        <v>1.6106394000000002</v>
      </c>
      <c r="O10" s="297"/>
    </row>
    <row r="11" spans="1:15" s="263" customFormat="1" ht="18" customHeight="1">
      <c r="A11" s="298"/>
      <c r="B11" s="326" t="s">
        <v>263</v>
      </c>
      <c r="C11" s="298" t="s">
        <v>7</v>
      </c>
      <c r="D11" s="266">
        <f>45.6-D10</f>
        <v>31.92</v>
      </c>
      <c r="E11" s="266">
        <f>50.8-E10</f>
        <v>35.559999999999995</v>
      </c>
      <c r="F11" s="266">
        <f>E11*15%</f>
        <v>5.3339999999999987</v>
      </c>
      <c r="G11" s="266">
        <f>E11*29.31%</f>
        <v>10.422635999999997</v>
      </c>
      <c r="H11" s="327">
        <f>F11+G11</f>
        <v>15.756635999999997</v>
      </c>
      <c r="I11" s="328">
        <v>2.5744373199999995</v>
      </c>
      <c r="J11" s="328">
        <v>2.7724709599999997</v>
      </c>
      <c r="K11" s="328">
        <v>3.1685382399999993</v>
      </c>
      <c r="L11" s="328">
        <v>3.1685382399999993</v>
      </c>
      <c r="M11" s="328">
        <v>3.5646055199999989</v>
      </c>
      <c r="N11" s="328">
        <v>4.5547737199999982</v>
      </c>
      <c r="O11" s="297"/>
    </row>
    <row r="12" spans="1:15" s="249" customFormat="1" ht="18" customHeight="1">
      <c r="A12" s="288"/>
      <c r="B12" s="322" t="s">
        <v>264</v>
      </c>
      <c r="C12" s="313" t="s">
        <v>7</v>
      </c>
      <c r="D12" s="265">
        <v>85.1</v>
      </c>
      <c r="E12" s="265">
        <v>101.2</v>
      </c>
      <c r="F12" s="299">
        <f>E12*32%</f>
        <v>32.384</v>
      </c>
      <c r="G12" s="300">
        <f>E12*25.21%</f>
        <v>25.512519999999999</v>
      </c>
      <c r="H12" s="323">
        <f>F12+G12</f>
        <v>57.896519999999995</v>
      </c>
      <c r="I12" s="324">
        <v>5.6294523999999999</v>
      </c>
      <c r="J12" s="324">
        <v>6.0624872000000005</v>
      </c>
      <c r="K12" s="324">
        <v>6.9285568</v>
      </c>
      <c r="L12" s="324">
        <v>6.9285568</v>
      </c>
      <c r="M12" s="324">
        <v>7.7946263999999994</v>
      </c>
      <c r="N12" s="324">
        <v>9.9598003999999989</v>
      </c>
      <c r="O12" s="297"/>
    </row>
    <row r="13" spans="1:15" s="264" customFormat="1" ht="26.4" customHeight="1">
      <c r="A13" s="290">
        <v>2</v>
      </c>
      <c r="B13" s="291" t="s">
        <v>265</v>
      </c>
      <c r="C13" s="290" t="s">
        <v>7</v>
      </c>
      <c r="D13" s="301">
        <f>D14+D15+D18</f>
        <v>749.5</v>
      </c>
      <c r="E13" s="329">
        <f>E14+E15+E18</f>
        <v>824.4</v>
      </c>
      <c r="F13" s="293">
        <f t="shared" ref="F13:G13" si="2">F14+F15+F18</f>
        <v>171.33735999999999</v>
      </c>
      <c r="G13" s="293">
        <f t="shared" si="2"/>
        <v>269.87577440000001</v>
      </c>
      <c r="H13" s="293">
        <f>H14+H15+H18</f>
        <v>441.2131344</v>
      </c>
      <c r="I13" s="293">
        <f t="shared" ref="I13:N13" si="3">I14+I15+I18</f>
        <v>49.81429252800001</v>
      </c>
      <c r="J13" s="293">
        <f t="shared" si="3"/>
        <v>53.646161184000007</v>
      </c>
      <c r="K13" s="293">
        <f t="shared" si="3"/>
        <v>61.309898496000002</v>
      </c>
      <c r="L13" s="293">
        <f t="shared" si="3"/>
        <v>61.266406826666667</v>
      </c>
      <c r="M13" s="293">
        <f t="shared" si="3"/>
        <v>68.973635807999997</v>
      </c>
      <c r="N13" s="293">
        <f t="shared" si="3"/>
        <v>88.176470757333334</v>
      </c>
      <c r="O13" s="295" t="s">
        <v>266</v>
      </c>
    </row>
    <row r="14" spans="1:15" s="249" customFormat="1" ht="18" customHeight="1">
      <c r="A14" s="288"/>
      <c r="B14" s="322" t="s">
        <v>267</v>
      </c>
      <c r="C14" s="313" t="s">
        <v>7</v>
      </c>
      <c r="D14" s="265">
        <v>541.4</v>
      </c>
      <c r="E14" s="265">
        <v>580.5</v>
      </c>
      <c r="F14" s="265">
        <f>E14*18%</f>
        <v>104.49</v>
      </c>
      <c r="G14" s="265">
        <f>G8*1.8</f>
        <v>209.00484</v>
      </c>
      <c r="H14" s="265">
        <f>G14+F14</f>
        <v>313.49484000000001</v>
      </c>
      <c r="I14" s="324">
        <v>34.710670800000003</v>
      </c>
      <c r="J14" s="324">
        <v>37.380722400000003</v>
      </c>
      <c r="K14" s="324">
        <v>42.720825599999998</v>
      </c>
      <c r="L14" s="324">
        <v>42.720825599999998</v>
      </c>
      <c r="M14" s="324">
        <v>48.060928799999999</v>
      </c>
      <c r="N14" s="265">
        <v>61.411186799999996</v>
      </c>
      <c r="O14" s="297"/>
    </row>
    <row r="15" spans="1:15" s="249" customFormat="1" ht="18" customHeight="1">
      <c r="A15" s="288"/>
      <c r="B15" s="322" t="s">
        <v>268</v>
      </c>
      <c r="C15" s="288" t="s">
        <v>7</v>
      </c>
      <c r="D15" s="265">
        <f>D16+D17</f>
        <v>73.5</v>
      </c>
      <c r="E15" s="265">
        <f>E16+E17</f>
        <v>81.400000000000006</v>
      </c>
      <c r="F15" s="265">
        <f>F16+F17</f>
        <v>14.847360000000002</v>
      </c>
      <c r="G15" s="265">
        <f>G16+G17</f>
        <v>22.091903999999996</v>
      </c>
      <c r="H15" s="265">
        <f t="shared" ref="H15:H17" si="4">G15+F15</f>
        <v>36.939263999999994</v>
      </c>
      <c r="I15" s="324">
        <v>5.7798956800000019</v>
      </c>
      <c r="J15" s="324">
        <v>6.2245030400000019</v>
      </c>
      <c r="K15" s="324">
        <v>7.1137177600000019</v>
      </c>
      <c r="L15" s="324">
        <v>7.1137177600000019</v>
      </c>
      <c r="M15" s="324">
        <v>8.0029324800000019</v>
      </c>
      <c r="N15" s="265">
        <v>10.225969280000001</v>
      </c>
      <c r="O15" s="297"/>
    </row>
    <row r="16" spans="1:15" s="263" customFormat="1" ht="18" customHeight="1">
      <c r="A16" s="302"/>
      <c r="B16" s="326" t="s">
        <v>262</v>
      </c>
      <c r="C16" s="330" t="s">
        <v>7</v>
      </c>
      <c r="D16" s="266">
        <f>73.5*30/100</f>
        <v>22.05</v>
      </c>
      <c r="E16" s="266">
        <f>81.4*30%</f>
        <v>24.42</v>
      </c>
      <c r="F16" s="266">
        <f>E16*25.8%</f>
        <v>6.3003600000000004</v>
      </c>
      <c r="G16" s="266">
        <f>G10*1.5</f>
        <v>6.4579500000000003</v>
      </c>
      <c r="H16" s="266">
        <f t="shared" si="4"/>
        <v>12.758310000000002</v>
      </c>
      <c r="I16" s="328">
        <v>1.5160196999999995</v>
      </c>
      <c r="J16" s="328">
        <v>1.6326365999999997</v>
      </c>
      <c r="K16" s="328">
        <v>1.8658703999999995</v>
      </c>
      <c r="L16" s="328">
        <v>1.8658703999999995</v>
      </c>
      <c r="M16" s="328">
        <v>2.0991041999999993</v>
      </c>
      <c r="N16" s="266">
        <v>2.6821886999999993</v>
      </c>
      <c r="O16" s="297"/>
    </row>
    <row r="17" spans="1:15" s="263" customFormat="1" ht="18" customHeight="1">
      <c r="A17" s="302"/>
      <c r="B17" s="326" t="s">
        <v>269</v>
      </c>
      <c r="C17" s="330" t="s">
        <v>7</v>
      </c>
      <c r="D17" s="266">
        <f>73.5-D16</f>
        <v>51.45</v>
      </c>
      <c r="E17" s="266">
        <f>81.4-E16</f>
        <v>56.980000000000004</v>
      </c>
      <c r="F17" s="266">
        <f>E17*15%</f>
        <v>8.5470000000000006</v>
      </c>
      <c r="G17" s="266">
        <f>G11*1.5</f>
        <v>15.633953999999996</v>
      </c>
      <c r="H17" s="266">
        <f t="shared" si="4"/>
        <v>24.180953999999996</v>
      </c>
      <c r="I17" s="328">
        <v>4.2638759800000017</v>
      </c>
      <c r="J17" s="328">
        <v>4.5918664400000022</v>
      </c>
      <c r="K17" s="328">
        <v>5.2478473600000015</v>
      </c>
      <c r="L17" s="328">
        <v>5.2478473600000015</v>
      </c>
      <c r="M17" s="328">
        <v>5.9038282800000017</v>
      </c>
      <c r="N17" s="266">
        <v>7.54378058</v>
      </c>
      <c r="O17" s="297"/>
    </row>
    <row r="18" spans="1:15" s="249" customFormat="1" ht="18" customHeight="1">
      <c r="A18" s="288"/>
      <c r="B18" s="322" t="s">
        <v>270</v>
      </c>
      <c r="C18" s="313" t="s">
        <v>7</v>
      </c>
      <c r="D18" s="265">
        <v>134.6</v>
      </c>
      <c r="E18" s="265">
        <v>162.5</v>
      </c>
      <c r="F18" s="265">
        <f>E18*32%</f>
        <v>52</v>
      </c>
      <c r="G18" s="265">
        <f>G12*1.52</f>
        <v>38.779030399999996</v>
      </c>
      <c r="H18" s="265">
        <f>G18+F18</f>
        <v>90.779030399999996</v>
      </c>
      <c r="I18" s="324">
        <v>9.323726048000001</v>
      </c>
      <c r="J18" s="324">
        <v>10.040935744000002</v>
      </c>
      <c r="K18" s="324">
        <v>11.475355136000001</v>
      </c>
      <c r="L18" s="265">
        <v>11.43186346666667</v>
      </c>
      <c r="M18" s="324">
        <v>12.909774528</v>
      </c>
      <c r="N18" s="265">
        <v>16.53931467733333</v>
      </c>
      <c r="O18" s="297"/>
    </row>
    <row r="19" spans="1:15" s="249" customFormat="1" ht="18" customHeight="1">
      <c r="A19" s="290">
        <v>3</v>
      </c>
      <c r="B19" s="318" t="s">
        <v>271</v>
      </c>
      <c r="C19" s="290"/>
      <c r="D19" s="303">
        <f>SUM(D20:D22)</f>
        <v>100</v>
      </c>
      <c r="E19" s="331">
        <f t="shared" ref="E19:N19" si="5">SUM(E20:E22)</f>
        <v>100</v>
      </c>
      <c r="F19" s="331">
        <f t="shared" si="5"/>
        <v>100</v>
      </c>
      <c r="G19" s="331">
        <f t="shared" si="5"/>
        <v>100</v>
      </c>
      <c r="H19" s="331">
        <f t="shared" si="5"/>
        <v>99.999999999999986</v>
      </c>
      <c r="I19" s="331">
        <f t="shared" si="5"/>
        <v>99.999999999999986</v>
      </c>
      <c r="J19" s="331">
        <f t="shared" si="5"/>
        <v>100</v>
      </c>
      <c r="K19" s="331">
        <f t="shared" si="5"/>
        <v>100</v>
      </c>
      <c r="L19" s="331">
        <f t="shared" si="5"/>
        <v>100</v>
      </c>
      <c r="M19" s="331">
        <f t="shared" si="5"/>
        <v>100</v>
      </c>
      <c r="N19" s="331">
        <f t="shared" si="5"/>
        <v>100</v>
      </c>
      <c r="O19" s="295" t="s">
        <v>266</v>
      </c>
    </row>
    <row r="20" spans="1:15" s="249" customFormat="1" ht="18" customHeight="1">
      <c r="A20" s="288"/>
      <c r="B20" s="322" t="s">
        <v>272</v>
      </c>
      <c r="C20" s="288" t="s">
        <v>0</v>
      </c>
      <c r="D20" s="304">
        <f>D14/D13*100</f>
        <v>72.234823215476979</v>
      </c>
      <c r="E20" s="300">
        <f>E14/E13*100</f>
        <v>70.414847161572055</v>
      </c>
      <c r="F20" s="300">
        <f t="shared" ref="F20:G20" si="6">F14/F13*100</f>
        <v>60.984948058030078</v>
      </c>
      <c r="G20" s="300">
        <f t="shared" si="6"/>
        <v>77.444831965621589</v>
      </c>
      <c r="H20" s="300">
        <f>H14/H13*100</f>
        <v>71.052925572199371</v>
      </c>
      <c r="I20" s="300">
        <f t="shared" ref="I20:N20" si="7">I14/I13*100</f>
        <v>69.680144068069524</v>
      </c>
      <c r="J20" s="300">
        <f t="shared" si="7"/>
        <v>69.680144068069538</v>
      </c>
      <c r="K20" s="300">
        <f t="shared" si="7"/>
        <v>69.680144068069538</v>
      </c>
      <c r="L20" s="300">
        <f t="shared" si="7"/>
        <v>69.729608463680023</v>
      </c>
      <c r="M20" s="300">
        <f t="shared" si="7"/>
        <v>69.680144068069538</v>
      </c>
      <c r="N20" s="300">
        <f t="shared" si="7"/>
        <v>69.645775423476721</v>
      </c>
      <c r="O20" s="297"/>
    </row>
    <row r="21" spans="1:15" s="249" customFormat="1" ht="18" customHeight="1">
      <c r="A21" s="288"/>
      <c r="B21" s="322" t="s">
        <v>261</v>
      </c>
      <c r="C21" s="288" t="s">
        <v>0</v>
      </c>
      <c r="D21" s="304">
        <f t="shared" ref="D21:N21" si="8">D15/D13*100</f>
        <v>9.8065376917945297</v>
      </c>
      <c r="E21" s="265">
        <f t="shared" si="8"/>
        <v>9.8738476467734113</v>
      </c>
      <c r="F21" s="265">
        <f t="shared" si="8"/>
        <v>8.6655706612965222</v>
      </c>
      <c r="G21" s="265">
        <f t="shared" si="8"/>
        <v>8.1859529811876275</v>
      </c>
      <c r="H21" s="265">
        <f t="shared" si="8"/>
        <v>8.3722040709946732</v>
      </c>
      <c r="I21" s="265">
        <f t="shared" si="8"/>
        <v>11.602886213331631</v>
      </c>
      <c r="J21" s="265">
        <f t="shared" si="8"/>
        <v>11.602886213331631</v>
      </c>
      <c r="K21" s="265">
        <f t="shared" si="8"/>
        <v>11.602886213331633</v>
      </c>
      <c r="L21" s="265">
        <f t="shared" si="8"/>
        <v>11.611122846041793</v>
      </c>
      <c r="M21" s="265">
        <f t="shared" si="8"/>
        <v>11.602886213331633</v>
      </c>
      <c r="N21" s="265">
        <f t="shared" si="8"/>
        <v>11.597163270621763</v>
      </c>
      <c r="O21" s="297"/>
    </row>
    <row r="22" spans="1:15" s="249" customFormat="1" ht="18" customHeight="1">
      <c r="A22" s="288"/>
      <c r="B22" s="322" t="s">
        <v>270</v>
      </c>
      <c r="C22" s="313" t="s">
        <v>0</v>
      </c>
      <c r="D22" s="304">
        <f t="shared" ref="D22:N22" si="9">D18/D13*100</f>
        <v>17.958639092728486</v>
      </c>
      <c r="E22" s="300">
        <f t="shared" si="9"/>
        <v>19.711305191654539</v>
      </c>
      <c r="F22" s="300">
        <f t="shared" si="9"/>
        <v>30.349481280673409</v>
      </c>
      <c r="G22" s="300">
        <f t="shared" si="9"/>
        <v>14.369215053190782</v>
      </c>
      <c r="H22" s="300">
        <f t="shared" si="9"/>
        <v>20.574870356805949</v>
      </c>
      <c r="I22" s="300">
        <f t="shared" si="9"/>
        <v>18.716969718598829</v>
      </c>
      <c r="J22" s="300">
        <f t="shared" si="9"/>
        <v>18.716969718598833</v>
      </c>
      <c r="K22" s="300">
        <f t="shared" si="9"/>
        <v>18.716969718598829</v>
      </c>
      <c r="L22" s="300">
        <f t="shared" si="9"/>
        <v>18.659268690278186</v>
      </c>
      <c r="M22" s="300">
        <f t="shared" si="9"/>
        <v>18.716969718598829</v>
      </c>
      <c r="N22" s="300">
        <f t="shared" si="9"/>
        <v>18.757061305901509</v>
      </c>
      <c r="O22" s="297"/>
    </row>
    <row r="23" spans="1:15" s="267" customFormat="1" ht="18" customHeight="1">
      <c r="A23" s="305">
        <v>4</v>
      </c>
      <c r="B23" s="332" t="s">
        <v>273</v>
      </c>
      <c r="C23" s="333" t="s">
        <v>274</v>
      </c>
      <c r="D23" s="306">
        <v>51.1</v>
      </c>
      <c r="E23" s="307">
        <v>55</v>
      </c>
      <c r="F23" s="308">
        <v>11.55</v>
      </c>
      <c r="G23" s="308">
        <v>18.7</v>
      </c>
      <c r="H23" s="308">
        <f>G23+F23</f>
        <v>30.25</v>
      </c>
      <c r="I23" s="308">
        <v>5.1333333333333337</v>
      </c>
      <c r="J23" s="308">
        <v>5.1333333333333337</v>
      </c>
      <c r="K23" s="308">
        <v>5.1333333333333337</v>
      </c>
      <c r="L23" s="308">
        <v>3.1166666666666667</v>
      </c>
      <c r="M23" s="308">
        <v>3.1166666666666667</v>
      </c>
      <c r="N23" s="308">
        <v>3.1166666666666667</v>
      </c>
      <c r="O23" s="309" t="s">
        <v>275</v>
      </c>
    </row>
    <row r="24" spans="1:15" s="268" customFormat="1" ht="18" customHeight="1">
      <c r="A24" s="305"/>
      <c r="B24" s="334" t="s">
        <v>276</v>
      </c>
      <c r="C24" s="335"/>
      <c r="D24" s="310"/>
      <c r="E24" s="336"/>
      <c r="F24" s="337"/>
      <c r="G24" s="338"/>
      <c r="H24" s="338"/>
      <c r="I24" s="338"/>
      <c r="J24" s="338"/>
      <c r="K24" s="338"/>
      <c r="L24" s="338"/>
      <c r="M24" s="338"/>
      <c r="N24" s="338"/>
      <c r="O24" s="311"/>
    </row>
    <row r="25" spans="1:15" s="268" customFormat="1" ht="18" customHeight="1">
      <c r="A25" s="312"/>
      <c r="B25" s="334" t="s">
        <v>277</v>
      </c>
      <c r="C25" s="312" t="s">
        <v>278</v>
      </c>
      <c r="D25" s="310">
        <v>16892</v>
      </c>
      <c r="E25" s="337">
        <v>17000</v>
      </c>
      <c r="F25" s="337">
        <v>17000</v>
      </c>
      <c r="G25" s="337">
        <v>17000</v>
      </c>
      <c r="H25" s="337">
        <v>17000</v>
      </c>
      <c r="I25" s="337">
        <v>17000</v>
      </c>
      <c r="J25" s="337">
        <v>17000</v>
      </c>
      <c r="K25" s="337">
        <v>17000</v>
      </c>
      <c r="L25" s="337">
        <v>17000</v>
      </c>
      <c r="M25" s="337">
        <v>17000</v>
      </c>
      <c r="N25" s="337">
        <v>17000</v>
      </c>
      <c r="O25" s="311"/>
    </row>
    <row r="26" spans="1:15" s="249" customFormat="1" ht="18" customHeight="1">
      <c r="A26" s="290">
        <v>5</v>
      </c>
      <c r="B26" s="318" t="s">
        <v>279</v>
      </c>
      <c r="C26" s="288"/>
      <c r="D26" s="313"/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5" t="s">
        <v>280</v>
      </c>
    </row>
    <row r="27" spans="1:15" s="249" customFormat="1" ht="18" customHeight="1">
      <c r="A27" s="288"/>
      <c r="B27" s="322" t="s">
        <v>281</v>
      </c>
      <c r="C27" s="288" t="s">
        <v>282</v>
      </c>
      <c r="D27" s="316">
        <v>155</v>
      </c>
      <c r="E27" s="314">
        <f>250</f>
        <v>250</v>
      </c>
      <c r="F27" s="314">
        <v>231</v>
      </c>
      <c r="G27" s="314">
        <v>240</v>
      </c>
      <c r="H27" s="314">
        <v>240</v>
      </c>
      <c r="I27" s="314">
        <v>240</v>
      </c>
      <c r="J27" s="314">
        <v>242</v>
      </c>
      <c r="K27" s="314">
        <v>245</v>
      </c>
      <c r="L27" s="314">
        <v>246</v>
      </c>
      <c r="M27" s="314">
        <v>247</v>
      </c>
      <c r="N27" s="314">
        <v>250</v>
      </c>
      <c r="O27" s="317"/>
    </row>
    <row r="28" spans="1:15" s="249" customFormat="1" ht="18" customHeight="1">
      <c r="A28" s="288"/>
      <c r="B28" s="322" t="s">
        <v>283</v>
      </c>
      <c r="C28" s="288"/>
      <c r="D28" s="316">
        <v>21</v>
      </c>
      <c r="E28" s="314">
        <v>21</v>
      </c>
      <c r="F28" s="314">
        <v>21</v>
      </c>
      <c r="G28" s="314">
        <v>21</v>
      </c>
      <c r="H28" s="314">
        <v>21</v>
      </c>
      <c r="I28" s="314">
        <v>21</v>
      </c>
      <c r="J28" s="314">
        <v>21</v>
      </c>
      <c r="K28" s="314">
        <v>21</v>
      </c>
      <c r="L28" s="314">
        <v>21</v>
      </c>
      <c r="M28" s="314">
        <v>21</v>
      </c>
      <c r="N28" s="314">
        <v>21</v>
      </c>
      <c r="O28" s="317"/>
    </row>
    <row r="29" spans="1:15" s="249" customFormat="1" ht="18" customHeight="1">
      <c r="A29" s="288"/>
      <c r="B29" s="322" t="s">
        <v>284</v>
      </c>
      <c r="C29" s="288" t="s">
        <v>285</v>
      </c>
      <c r="D29" s="316">
        <v>3</v>
      </c>
      <c r="E29" s="250">
        <v>3</v>
      </c>
      <c r="F29" s="250">
        <v>3</v>
      </c>
      <c r="G29" s="250">
        <v>3</v>
      </c>
      <c r="H29" s="250">
        <v>3</v>
      </c>
      <c r="I29" s="250">
        <v>3</v>
      </c>
      <c r="J29" s="250">
        <v>3</v>
      </c>
      <c r="K29" s="250">
        <v>3</v>
      </c>
      <c r="L29" s="250">
        <v>3</v>
      </c>
      <c r="M29" s="250">
        <v>3</v>
      </c>
      <c r="N29" s="250">
        <v>3</v>
      </c>
      <c r="O29" s="317"/>
    </row>
    <row r="30" spans="1:15" s="264" customFormat="1" ht="43.8" customHeight="1">
      <c r="A30" s="290">
        <v>6</v>
      </c>
      <c r="B30" s="318" t="s">
        <v>306</v>
      </c>
      <c r="C30" s="290" t="s">
        <v>307</v>
      </c>
      <c r="D30" s="293">
        <v>1</v>
      </c>
      <c r="E30" s="319"/>
      <c r="F30" s="319"/>
      <c r="G30" s="319">
        <v>2</v>
      </c>
      <c r="H30" s="319">
        <v>2</v>
      </c>
      <c r="I30" s="319"/>
      <c r="J30" s="319"/>
      <c r="K30" s="319">
        <v>4</v>
      </c>
      <c r="L30" s="319">
        <v>2</v>
      </c>
      <c r="M30" s="319"/>
      <c r="N30" s="319">
        <v>5</v>
      </c>
      <c r="O30" s="289" t="s">
        <v>301</v>
      </c>
    </row>
    <row r="31" spans="1:15" s="362" customFormat="1" ht="19.95" customHeight="1">
      <c r="A31" s="360">
        <v>7</v>
      </c>
      <c r="B31" s="361" t="s">
        <v>286</v>
      </c>
      <c r="C31" s="360" t="s">
        <v>7</v>
      </c>
      <c r="D31" s="320">
        <f>D32+D33</f>
        <v>9.6310000000000002</v>
      </c>
      <c r="E31" s="321">
        <f t="shared" ref="E31:F31" si="10">E32+E33</f>
        <v>7.0019999999999998</v>
      </c>
      <c r="F31" s="321">
        <f t="shared" si="10"/>
        <v>3.0389999999999997</v>
      </c>
      <c r="G31" s="321">
        <v>1.5860000000000001</v>
      </c>
      <c r="H31" s="321">
        <f>H32+H33</f>
        <v>4.625</v>
      </c>
      <c r="I31" s="321">
        <f>I32+I33</f>
        <v>0.64400000000000002</v>
      </c>
      <c r="J31" s="321">
        <f t="shared" ref="J31:N31" si="11">J32+J33</f>
        <v>0.35</v>
      </c>
      <c r="K31" s="321">
        <f t="shared" si="11"/>
        <v>0.4</v>
      </c>
      <c r="L31" s="321">
        <f t="shared" si="11"/>
        <v>0.55000000000000004</v>
      </c>
      <c r="M31" s="321">
        <f t="shared" si="11"/>
        <v>0.68</v>
      </c>
      <c r="N31" s="321">
        <f t="shared" si="11"/>
        <v>0.83</v>
      </c>
      <c r="O31" s="315" t="s">
        <v>287</v>
      </c>
    </row>
    <row r="32" spans="1:15" s="362" customFormat="1" ht="17.399999999999999" customHeight="1">
      <c r="A32" s="360"/>
      <c r="B32" s="366" t="s">
        <v>243</v>
      </c>
      <c r="C32" s="289"/>
      <c r="D32" s="258">
        <f>9.631-D33</f>
        <v>8.0139999999999993</v>
      </c>
      <c r="E32" s="257">
        <f>7.002-E33</f>
        <v>6.6019999999999994</v>
      </c>
      <c r="F32" s="259">
        <f>3.039-F33</f>
        <v>2.4969999999999999</v>
      </c>
      <c r="G32" s="259">
        <f>G31-G33</f>
        <v>0.96900000000000008</v>
      </c>
      <c r="H32" s="259">
        <f>F32+G32</f>
        <v>3.4660000000000002</v>
      </c>
      <c r="I32" s="259">
        <f>0.644-I33</f>
        <v>0.32800000000000001</v>
      </c>
      <c r="J32" s="259">
        <v>0.35</v>
      </c>
      <c r="K32" s="259">
        <v>0.4</v>
      </c>
      <c r="L32" s="259">
        <v>0.55000000000000004</v>
      </c>
      <c r="M32" s="259">
        <v>0.68</v>
      </c>
      <c r="N32" s="259">
        <v>0.83</v>
      </c>
      <c r="O32" s="317"/>
    </row>
    <row r="33" spans="1:15" s="362" customFormat="1" ht="17.399999999999999" customHeight="1">
      <c r="A33" s="289"/>
      <c r="B33" s="366" t="s">
        <v>244</v>
      </c>
      <c r="C33" s="289"/>
      <c r="D33" s="257">
        <v>1.617</v>
      </c>
      <c r="E33" s="257">
        <v>0.4</v>
      </c>
      <c r="F33" s="259">
        <v>0.54200000000000004</v>
      </c>
      <c r="G33" s="259">
        <v>0.61699999999999999</v>
      </c>
      <c r="H33" s="259">
        <f>F33+G33</f>
        <v>1.159</v>
      </c>
      <c r="I33" s="259">
        <v>0.316</v>
      </c>
      <c r="J33" s="253"/>
      <c r="K33" s="253"/>
      <c r="L33" s="253"/>
      <c r="M33" s="253"/>
      <c r="N33" s="253"/>
      <c r="O33" s="317"/>
    </row>
    <row r="34" spans="1:15" s="362" customFormat="1" ht="21.6" customHeight="1">
      <c r="A34" s="360">
        <v>8</v>
      </c>
      <c r="B34" s="361" t="s">
        <v>298</v>
      </c>
      <c r="C34" s="360" t="s">
        <v>7</v>
      </c>
      <c r="D34" s="320">
        <v>132.06</v>
      </c>
      <c r="E34" s="321">
        <v>144.47</v>
      </c>
      <c r="F34" s="321">
        <v>29.326000000000001</v>
      </c>
      <c r="G34" s="321">
        <v>37.616</v>
      </c>
      <c r="H34" s="321">
        <v>66.942000000000007</v>
      </c>
      <c r="I34" s="321">
        <v>12</v>
      </c>
      <c r="J34" s="321">
        <v>12</v>
      </c>
      <c r="K34" s="321">
        <v>12</v>
      </c>
      <c r="L34" s="321">
        <v>12</v>
      </c>
      <c r="M34" s="321">
        <v>14</v>
      </c>
      <c r="N34" s="321">
        <v>15.53</v>
      </c>
      <c r="O34" s="315" t="s">
        <v>300</v>
      </c>
    </row>
    <row r="35" spans="1:15" s="362" customFormat="1" ht="21.6" customHeight="1">
      <c r="A35" s="289"/>
      <c r="B35" s="366" t="s">
        <v>299</v>
      </c>
      <c r="C35" s="289"/>
      <c r="D35" s="257">
        <v>132.06</v>
      </c>
      <c r="E35" s="257">
        <v>144.47</v>
      </c>
      <c r="F35" s="259">
        <v>29.326000000000001</v>
      </c>
      <c r="G35" s="259">
        <v>37.616</v>
      </c>
      <c r="H35" s="259">
        <f>F35+G35</f>
        <v>66.942000000000007</v>
      </c>
      <c r="I35" s="259">
        <v>12</v>
      </c>
      <c r="J35" s="287">
        <v>12</v>
      </c>
      <c r="K35" s="287">
        <v>12</v>
      </c>
      <c r="L35" s="287">
        <v>12</v>
      </c>
      <c r="M35" s="287">
        <v>14</v>
      </c>
      <c r="N35" s="287">
        <v>15.53</v>
      </c>
      <c r="O35" s="317"/>
    </row>
    <row r="36" spans="1:15" s="249" customFormat="1" ht="29.25" customHeight="1">
      <c r="A36" s="360">
        <v>9</v>
      </c>
      <c r="B36" s="361" t="s">
        <v>305</v>
      </c>
      <c r="C36" s="360" t="s">
        <v>7</v>
      </c>
      <c r="D36" s="321">
        <v>0</v>
      </c>
      <c r="E36" s="321">
        <v>0</v>
      </c>
      <c r="F36" s="321">
        <v>0</v>
      </c>
      <c r="G36" s="321">
        <v>0</v>
      </c>
      <c r="H36" s="321">
        <v>0</v>
      </c>
      <c r="I36" s="321"/>
      <c r="J36" s="367">
        <v>1000</v>
      </c>
      <c r="K36" s="321"/>
      <c r="L36" s="321"/>
      <c r="M36" s="321">
        <v>1800</v>
      </c>
      <c r="N36" s="321"/>
      <c r="O36" s="289" t="s">
        <v>290</v>
      </c>
    </row>
    <row r="37" spans="1:15">
      <c r="A37" s="254"/>
    </row>
    <row r="38" spans="1:15">
      <c r="A38" s="254"/>
      <c r="I38" s="260"/>
      <c r="J38" s="260"/>
      <c r="K38" s="260"/>
    </row>
    <row r="39" spans="1:15">
      <c r="A39" s="254"/>
      <c r="H39" s="260"/>
      <c r="I39" s="260"/>
      <c r="J39" s="260"/>
      <c r="K39" s="260"/>
    </row>
    <row r="40" spans="1:15">
      <c r="A40" s="254"/>
    </row>
    <row r="41" spans="1:15">
      <c r="A41" s="254"/>
      <c r="F41" s="255"/>
    </row>
    <row r="42" spans="1:15">
      <c r="A42" s="254"/>
      <c r="F42" s="255"/>
    </row>
    <row r="43" spans="1:15">
      <c r="A43" s="254"/>
    </row>
    <row r="44" spans="1:15">
      <c r="A44" s="254"/>
    </row>
    <row r="45" spans="1:15">
      <c r="A45" s="254"/>
    </row>
    <row r="46" spans="1:15">
      <c r="A46" s="254"/>
    </row>
    <row r="47" spans="1:15">
      <c r="A47" s="254"/>
    </row>
    <row r="48" spans="1:15">
      <c r="A48" s="254"/>
    </row>
    <row r="49" spans="1:1">
      <c r="A49" s="254"/>
    </row>
    <row r="50" spans="1:1">
      <c r="A50" s="254"/>
    </row>
    <row r="51" spans="1:1">
      <c r="A51" s="254"/>
    </row>
    <row r="52" spans="1:1">
      <c r="A52" s="254"/>
    </row>
    <row r="53" spans="1:1">
      <c r="A53" s="254"/>
    </row>
    <row r="54" spans="1:1">
      <c r="A54" s="254"/>
    </row>
    <row r="55" spans="1:1">
      <c r="A55" s="254"/>
    </row>
    <row r="56" spans="1:1">
      <c r="A56" s="254"/>
    </row>
    <row r="57" spans="1:1">
      <c r="A57" s="254"/>
    </row>
    <row r="58" spans="1:1">
      <c r="A58" s="254"/>
    </row>
    <row r="59" spans="1:1">
      <c r="A59" s="254"/>
    </row>
    <row r="60" spans="1:1">
      <c r="A60" s="254"/>
    </row>
    <row r="61" spans="1:1">
      <c r="A61" s="254"/>
    </row>
    <row r="62" spans="1:1">
      <c r="A62" s="254"/>
    </row>
    <row r="63" spans="1:1">
      <c r="A63" s="254"/>
    </row>
    <row r="64" spans="1:1">
      <c r="A64" s="254"/>
    </row>
    <row r="65" spans="1:1">
      <c r="A65" s="254"/>
    </row>
    <row r="66" spans="1:1">
      <c r="A66" s="254"/>
    </row>
    <row r="67" spans="1:1">
      <c r="A67" s="254"/>
    </row>
    <row r="68" spans="1:1">
      <c r="A68" s="254"/>
    </row>
    <row r="69" spans="1:1">
      <c r="A69" s="254"/>
    </row>
    <row r="70" spans="1:1">
      <c r="A70" s="254"/>
    </row>
    <row r="71" spans="1:1">
      <c r="A71" s="254"/>
    </row>
    <row r="72" spans="1:1">
      <c r="A72" s="254"/>
    </row>
    <row r="73" spans="1:1">
      <c r="A73" s="254"/>
    </row>
    <row r="74" spans="1:1">
      <c r="A74" s="254"/>
    </row>
    <row r="75" spans="1:1">
      <c r="A75" s="254"/>
    </row>
    <row r="76" spans="1:1">
      <c r="A76" s="254"/>
    </row>
    <row r="77" spans="1:1">
      <c r="A77" s="254"/>
    </row>
    <row r="78" spans="1:1">
      <c r="A78" s="254"/>
    </row>
    <row r="79" spans="1:1">
      <c r="A79" s="254"/>
    </row>
    <row r="80" spans="1:1">
      <c r="A80" s="254"/>
    </row>
    <row r="81" spans="1:1">
      <c r="A81" s="254"/>
    </row>
    <row r="82" spans="1:1">
      <c r="A82" s="254"/>
    </row>
    <row r="83" spans="1:1">
      <c r="A83" s="254"/>
    </row>
    <row r="84" spans="1:1">
      <c r="A84" s="254"/>
    </row>
    <row r="85" spans="1:1">
      <c r="A85" s="254"/>
    </row>
    <row r="86" spans="1:1">
      <c r="A86" s="254"/>
    </row>
    <row r="87" spans="1:1">
      <c r="A87" s="254"/>
    </row>
    <row r="88" spans="1:1">
      <c r="A88" s="254"/>
    </row>
    <row r="89" spans="1:1">
      <c r="A89" s="254"/>
    </row>
    <row r="90" spans="1:1">
      <c r="A90" s="254"/>
    </row>
    <row r="91" spans="1:1">
      <c r="A91" s="254"/>
    </row>
    <row r="92" spans="1:1">
      <c r="A92" s="254"/>
    </row>
    <row r="93" spans="1:1">
      <c r="A93" s="254"/>
    </row>
    <row r="94" spans="1:1">
      <c r="A94" s="254"/>
    </row>
    <row r="95" spans="1:1">
      <c r="A95" s="254"/>
    </row>
    <row r="96" spans="1:1">
      <c r="A96" s="254"/>
    </row>
    <row r="97" spans="1:1">
      <c r="A97" s="254"/>
    </row>
    <row r="98" spans="1:1">
      <c r="A98" s="254"/>
    </row>
    <row r="99" spans="1:1">
      <c r="A99" s="254"/>
    </row>
    <row r="100" spans="1:1">
      <c r="A100" s="254"/>
    </row>
    <row r="101" spans="1:1">
      <c r="A101" s="254"/>
    </row>
    <row r="102" spans="1:1">
      <c r="A102" s="254"/>
    </row>
    <row r="103" spans="1:1">
      <c r="A103" s="254"/>
    </row>
    <row r="104" spans="1:1">
      <c r="A104" s="254"/>
    </row>
    <row r="105" spans="1:1">
      <c r="A105" s="254"/>
    </row>
    <row r="106" spans="1:1">
      <c r="A106" s="254"/>
    </row>
    <row r="107" spans="1:1">
      <c r="A107" s="254"/>
    </row>
    <row r="108" spans="1:1">
      <c r="A108" s="254"/>
    </row>
    <row r="109" spans="1:1">
      <c r="A109" s="254"/>
    </row>
    <row r="110" spans="1:1">
      <c r="A110" s="254"/>
    </row>
    <row r="111" spans="1:1">
      <c r="A111" s="254"/>
    </row>
    <row r="112" spans="1:1">
      <c r="A112" s="254"/>
    </row>
    <row r="113" spans="1:1">
      <c r="A113" s="254"/>
    </row>
    <row r="114" spans="1:1">
      <c r="A114" s="254"/>
    </row>
    <row r="115" spans="1:1">
      <c r="A115" s="254"/>
    </row>
    <row r="116" spans="1:1">
      <c r="A116" s="254"/>
    </row>
    <row r="117" spans="1:1">
      <c r="A117" s="254"/>
    </row>
    <row r="118" spans="1:1">
      <c r="A118" s="254"/>
    </row>
    <row r="119" spans="1:1">
      <c r="A119" s="254"/>
    </row>
    <row r="120" spans="1:1">
      <c r="A120" s="254"/>
    </row>
    <row r="121" spans="1:1">
      <c r="A121" s="254"/>
    </row>
    <row r="122" spans="1:1">
      <c r="A122" s="254"/>
    </row>
    <row r="123" spans="1:1">
      <c r="A123" s="254"/>
    </row>
    <row r="124" spans="1:1">
      <c r="A124" s="254"/>
    </row>
    <row r="125" spans="1:1">
      <c r="A125" s="254"/>
    </row>
    <row r="126" spans="1:1">
      <c r="A126" s="254"/>
    </row>
    <row r="127" spans="1:1">
      <c r="A127" s="254"/>
    </row>
    <row r="128" spans="1:1">
      <c r="A128" s="254"/>
    </row>
    <row r="129" spans="1:1">
      <c r="A129" s="254"/>
    </row>
    <row r="130" spans="1:1">
      <c r="A130" s="254"/>
    </row>
    <row r="131" spans="1:1">
      <c r="A131" s="254"/>
    </row>
    <row r="132" spans="1:1">
      <c r="A132" s="254"/>
    </row>
    <row r="133" spans="1:1">
      <c r="A133" s="254"/>
    </row>
    <row r="134" spans="1:1">
      <c r="A134" s="254"/>
    </row>
    <row r="135" spans="1:1">
      <c r="A135" s="254"/>
    </row>
    <row r="136" spans="1:1">
      <c r="A136" s="254"/>
    </row>
    <row r="137" spans="1:1">
      <c r="A137" s="254"/>
    </row>
    <row r="138" spans="1:1">
      <c r="A138" s="254"/>
    </row>
    <row r="139" spans="1:1">
      <c r="A139" s="254"/>
    </row>
    <row r="140" spans="1:1">
      <c r="A140" s="254"/>
    </row>
    <row r="141" spans="1:1">
      <c r="A141" s="254"/>
    </row>
    <row r="142" spans="1:1">
      <c r="A142" s="254"/>
    </row>
    <row r="143" spans="1:1">
      <c r="A143" s="254"/>
    </row>
    <row r="144" spans="1:1">
      <c r="A144" s="254"/>
    </row>
    <row r="145" spans="1:1">
      <c r="A145" s="254"/>
    </row>
    <row r="146" spans="1:1">
      <c r="A146" s="254"/>
    </row>
    <row r="147" spans="1:1">
      <c r="A147" s="254"/>
    </row>
    <row r="148" spans="1:1">
      <c r="A148" s="254"/>
    </row>
    <row r="149" spans="1:1">
      <c r="A149" s="254"/>
    </row>
    <row r="150" spans="1:1">
      <c r="A150" s="254"/>
    </row>
    <row r="151" spans="1:1">
      <c r="A151" s="254"/>
    </row>
    <row r="152" spans="1:1">
      <c r="A152" s="254"/>
    </row>
    <row r="153" spans="1:1">
      <c r="A153" s="254"/>
    </row>
    <row r="154" spans="1:1">
      <c r="A154" s="254"/>
    </row>
    <row r="155" spans="1:1">
      <c r="A155" s="254"/>
    </row>
    <row r="156" spans="1:1">
      <c r="A156" s="254"/>
    </row>
    <row r="157" spans="1:1">
      <c r="A157" s="254"/>
    </row>
    <row r="158" spans="1:1">
      <c r="A158" s="254"/>
    </row>
    <row r="159" spans="1:1">
      <c r="A159" s="254"/>
    </row>
    <row r="160" spans="1:1">
      <c r="A160" s="254"/>
    </row>
    <row r="161" spans="1:1">
      <c r="A161" s="254"/>
    </row>
    <row r="162" spans="1:1">
      <c r="A162" s="254"/>
    </row>
    <row r="163" spans="1:1">
      <c r="A163" s="254"/>
    </row>
    <row r="164" spans="1:1">
      <c r="A164" s="254"/>
    </row>
    <row r="165" spans="1:1">
      <c r="A165" s="254"/>
    </row>
    <row r="166" spans="1:1">
      <c r="A166" s="254"/>
    </row>
    <row r="167" spans="1:1">
      <c r="A167" s="254"/>
    </row>
    <row r="168" spans="1:1">
      <c r="A168" s="254"/>
    </row>
    <row r="169" spans="1:1">
      <c r="A169" s="254"/>
    </row>
    <row r="170" spans="1:1">
      <c r="A170" s="254"/>
    </row>
    <row r="171" spans="1:1">
      <c r="A171" s="254"/>
    </row>
    <row r="172" spans="1:1">
      <c r="A172" s="254"/>
    </row>
    <row r="173" spans="1:1">
      <c r="A173" s="254"/>
    </row>
    <row r="174" spans="1:1">
      <c r="A174" s="254"/>
    </row>
    <row r="175" spans="1:1">
      <c r="A175" s="254"/>
    </row>
    <row r="176" spans="1:1">
      <c r="A176" s="254"/>
    </row>
    <row r="177" spans="1:1">
      <c r="A177" s="254"/>
    </row>
    <row r="178" spans="1:1">
      <c r="A178" s="254"/>
    </row>
    <row r="179" spans="1:1">
      <c r="A179" s="254"/>
    </row>
    <row r="180" spans="1:1">
      <c r="A180" s="254"/>
    </row>
    <row r="181" spans="1:1">
      <c r="A181" s="254"/>
    </row>
    <row r="182" spans="1:1">
      <c r="A182" s="254"/>
    </row>
    <row r="183" spans="1:1">
      <c r="A183" s="254"/>
    </row>
    <row r="184" spans="1:1">
      <c r="A184" s="254"/>
    </row>
    <row r="185" spans="1:1">
      <c r="A185" s="254"/>
    </row>
    <row r="186" spans="1:1">
      <c r="A186" s="254"/>
    </row>
    <row r="187" spans="1:1">
      <c r="A187" s="254"/>
    </row>
    <row r="188" spans="1:1">
      <c r="A188" s="254"/>
    </row>
    <row r="189" spans="1:1">
      <c r="A189" s="254"/>
    </row>
    <row r="190" spans="1:1">
      <c r="A190" s="254"/>
    </row>
    <row r="191" spans="1:1">
      <c r="A191" s="254"/>
    </row>
    <row r="192" spans="1:1">
      <c r="A192" s="254"/>
    </row>
    <row r="193" spans="1:1">
      <c r="A193" s="254"/>
    </row>
    <row r="194" spans="1:1">
      <c r="A194" s="254"/>
    </row>
    <row r="195" spans="1:1">
      <c r="A195" s="254"/>
    </row>
    <row r="196" spans="1:1">
      <c r="A196" s="254"/>
    </row>
    <row r="197" spans="1:1">
      <c r="A197" s="254"/>
    </row>
    <row r="198" spans="1:1">
      <c r="A198" s="254"/>
    </row>
    <row r="199" spans="1:1">
      <c r="A199" s="254"/>
    </row>
    <row r="200" spans="1:1">
      <c r="A200" s="254"/>
    </row>
    <row r="201" spans="1:1">
      <c r="A201" s="254"/>
    </row>
    <row r="202" spans="1:1">
      <c r="A202" s="254"/>
    </row>
    <row r="203" spans="1:1">
      <c r="A203" s="254"/>
    </row>
    <row r="204" spans="1:1">
      <c r="A204" s="254"/>
    </row>
    <row r="205" spans="1:1">
      <c r="A205" s="254"/>
    </row>
    <row r="206" spans="1:1">
      <c r="A206" s="254"/>
    </row>
    <row r="207" spans="1:1">
      <c r="A207" s="254"/>
    </row>
    <row r="208" spans="1:1">
      <c r="A208" s="254"/>
    </row>
    <row r="209" spans="1:1">
      <c r="A209" s="254"/>
    </row>
    <row r="210" spans="1:1">
      <c r="A210" s="254"/>
    </row>
    <row r="211" spans="1:1">
      <c r="A211" s="254"/>
    </row>
    <row r="212" spans="1:1">
      <c r="A212" s="254"/>
    </row>
    <row r="213" spans="1:1">
      <c r="A213" s="254"/>
    </row>
    <row r="214" spans="1:1">
      <c r="A214" s="254"/>
    </row>
    <row r="215" spans="1:1">
      <c r="A215" s="254"/>
    </row>
    <row r="216" spans="1:1">
      <c r="A216" s="254"/>
    </row>
    <row r="217" spans="1:1">
      <c r="A217" s="254"/>
    </row>
    <row r="218" spans="1:1">
      <c r="A218" s="254"/>
    </row>
    <row r="219" spans="1:1">
      <c r="A219" s="254"/>
    </row>
    <row r="220" spans="1:1">
      <c r="A220" s="254"/>
    </row>
    <row r="221" spans="1:1">
      <c r="A221" s="254"/>
    </row>
    <row r="222" spans="1:1">
      <c r="A222" s="254"/>
    </row>
    <row r="223" spans="1:1">
      <c r="A223" s="254"/>
    </row>
    <row r="224" spans="1:1">
      <c r="A224" s="254"/>
    </row>
    <row r="225" spans="1:1">
      <c r="A225" s="254"/>
    </row>
    <row r="226" spans="1:1">
      <c r="A226" s="254"/>
    </row>
    <row r="227" spans="1:1">
      <c r="A227" s="254"/>
    </row>
    <row r="228" spans="1:1">
      <c r="A228" s="254"/>
    </row>
    <row r="229" spans="1:1">
      <c r="A229" s="254"/>
    </row>
    <row r="230" spans="1:1">
      <c r="A230" s="254"/>
    </row>
    <row r="231" spans="1:1">
      <c r="A231" s="254"/>
    </row>
    <row r="232" spans="1:1">
      <c r="A232" s="254"/>
    </row>
    <row r="233" spans="1:1">
      <c r="A233" s="254"/>
    </row>
    <row r="234" spans="1:1">
      <c r="A234" s="254"/>
    </row>
    <row r="235" spans="1:1">
      <c r="A235" s="254"/>
    </row>
    <row r="236" spans="1:1">
      <c r="A236" s="254"/>
    </row>
    <row r="237" spans="1:1">
      <c r="A237" s="254"/>
    </row>
    <row r="238" spans="1:1">
      <c r="A238" s="254"/>
    </row>
    <row r="239" spans="1:1">
      <c r="A239" s="254"/>
    </row>
    <row r="240" spans="1:1">
      <c r="A240" s="254"/>
    </row>
    <row r="241" spans="1:1">
      <c r="A241" s="254"/>
    </row>
    <row r="242" spans="1:1">
      <c r="A242" s="254"/>
    </row>
    <row r="243" spans="1:1">
      <c r="A243" s="254"/>
    </row>
    <row r="244" spans="1:1">
      <c r="A244" s="254"/>
    </row>
    <row r="245" spans="1:1">
      <c r="A245" s="254"/>
    </row>
    <row r="246" spans="1:1">
      <c r="A246" s="254"/>
    </row>
    <row r="247" spans="1:1">
      <c r="A247" s="254"/>
    </row>
    <row r="248" spans="1:1">
      <c r="A248" s="254"/>
    </row>
    <row r="249" spans="1:1">
      <c r="A249" s="254"/>
    </row>
    <row r="250" spans="1:1">
      <c r="A250" s="254"/>
    </row>
    <row r="251" spans="1:1">
      <c r="A251" s="254"/>
    </row>
    <row r="252" spans="1:1">
      <c r="A252" s="254"/>
    </row>
    <row r="253" spans="1:1">
      <c r="A253" s="254"/>
    </row>
    <row r="254" spans="1:1">
      <c r="A254" s="254"/>
    </row>
    <row r="255" spans="1:1">
      <c r="A255" s="254"/>
    </row>
    <row r="256" spans="1:1">
      <c r="A256" s="254"/>
    </row>
    <row r="257" spans="1:1">
      <c r="A257" s="254"/>
    </row>
    <row r="258" spans="1:1">
      <c r="A258" s="254"/>
    </row>
    <row r="259" spans="1:1">
      <c r="A259" s="254"/>
    </row>
    <row r="260" spans="1:1">
      <c r="A260" s="254"/>
    </row>
    <row r="261" spans="1:1">
      <c r="A261" s="254"/>
    </row>
    <row r="262" spans="1:1">
      <c r="A262" s="254"/>
    </row>
    <row r="263" spans="1:1">
      <c r="A263" s="254"/>
    </row>
    <row r="264" spans="1:1">
      <c r="A264" s="254"/>
    </row>
    <row r="265" spans="1:1">
      <c r="A265" s="254"/>
    </row>
    <row r="266" spans="1:1">
      <c r="A266" s="254"/>
    </row>
    <row r="267" spans="1:1">
      <c r="A267" s="254"/>
    </row>
    <row r="268" spans="1:1">
      <c r="A268" s="254"/>
    </row>
    <row r="269" spans="1:1">
      <c r="A269" s="254"/>
    </row>
    <row r="270" spans="1:1">
      <c r="A270" s="254"/>
    </row>
    <row r="271" spans="1:1">
      <c r="A271" s="254"/>
    </row>
    <row r="272" spans="1:1">
      <c r="A272" s="254"/>
    </row>
    <row r="273" spans="1:1">
      <c r="A273" s="254"/>
    </row>
    <row r="274" spans="1:1">
      <c r="A274" s="254"/>
    </row>
    <row r="275" spans="1:1">
      <c r="A275" s="254"/>
    </row>
    <row r="276" spans="1:1">
      <c r="A276" s="254"/>
    </row>
    <row r="277" spans="1:1">
      <c r="A277" s="254"/>
    </row>
    <row r="278" spans="1:1">
      <c r="A278" s="254"/>
    </row>
    <row r="279" spans="1:1">
      <c r="A279" s="254"/>
    </row>
    <row r="280" spans="1:1">
      <c r="A280" s="254"/>
    </row>
    <row r="281" spans="1:1">
      <c r="A281" s="254"/>
    </row>
    <row r="282" spans="1:1">
      <c r="A282" s="254"/>
    </row>
    <row r="283" spans="1:1">
      <c r="A283" s="254"/>
    </row>
    <row r="284" spans="1:1">
      <c r="A284" s="254"/>
    </row>
    <row r="285" spans="1:1">
      <c r="A285" s="254"/>
    </row>
    <row r="286" spans="1:1">
      <c r="A286" s="254"/>
    </row>
    <row r="287" spans="1:1">
      <c r="A287" s="254"/>
    </row>
    <row r="288" spans="1:1">
      <c r="A288" s="254"/>
    </row>
    <row r="289" spans="1:1">
      <c r="A289" s="254"/>
    </row>
    <row r="290" spans="1:1">
      <c r="A290" s="254"/>
    </row>
    <row r="291" spans="1:1">
      <c r="A291" s="254"/>
    </row>
    <row r="292" spans="1:1">
      <c r="A292" s="254"/>
    </row>
    <row r="293" spans="1:1">
      <c r="A293" s="254"/>
    </row>
    <row r="294" spans="1:1">
      <c r="A294" s="254"/>
    </row>
    <row r="295" spans="1:1">
      <c r="A295" s="254"/>
    </row>
    <row r="296" spans="1:1">
      <c r="A296" s="254"/>
    </row>
    <row r="297" spans="1:1">
      <c r="A297" s="254"/>
    </row>
    <row r="298" spans="1:1">
      <c r="A298" s="254"/>
    </row>
    <row r="299" spans="1:1">
      <c r="A299" s="254"/>
    </row>
    <row r="300" spans="1:1">
      <c r="A300" s="254"/>
    </row>
    <row r="301" spans="1:1">
      <c r="A301" s="254"/>
    </row>
    <row r="302" spans="1:1">
      <c r="A302" s="254"/>
    </row>
    <row r="303" spans="1:1">
      <c r="A303" s="254"/>
    </row>
    <row r="304" spans="1:1">
      <c r="A304" s="254"/>
    </row>
    <row r="305" spans="1:1">
      <c r="A305" s="254"/>
    </row>
    <row r="306" spans="1:1">
      <c r="A306" s="254"/>
    </row>
    <row r="307" spans="1:1">
      <c r="A307" s="254"/>
    </row>
    <row r="308" spans="1:1">
      <c r="A308" s="254"/>
    </row>
    <row r="309" spans="1:1">
      <c r="A309" s="254"/>
    </row>
    <row r="310" spans="1:1">
      <c r="A310" s="254"/>
    </row>
    <row r="311" spans="1:1">
      <c r="A311" s="254"/>
    </row>
    <row r="312" spans="1:1">
      <c r="A312" s="254"/>
    </row>
    <row r="313" spans="1:1">
      <c r="A313" s="254"/>
    </row>
    <row r="314" spans="1:1">
      <c r="A314" s="254"/>
    </row>
    <row r="315" spans="1:1">
      <c r="A315" s="254"/>
    </row>
    <row r="316" spans="1:1">
      <c r="A316" s="254"/>
    </row>
    <row r="317" spans="1:1">
      <c r="A317" s="254"/>
    </row>
    <row r="318" spans="1:1">
      <c r="A318" s="254"/>
    </row>
    <row r="319" spans="1:1">
      <c r="A319" s="254"/>
    </row>
    <row r="320" spans="1:1">
      <c r="A320" s="254"/>
    </row>
    <row r="321" spans="1:1">
      <c r="A321" s="254"/>
    </row>
    <row r="322" spans="1:1">
      <c r="A322" s="254"/>
    </row>
    <row r="323" spans="1:1">
      <c r="A323" s="254"/>
    </row>
    <row r="324" spans="1:1">
      <c r="A324" s="254"/>
    </row>
    <row r="325" spans="1:1">
      <c r="A325" s="254"/>
    </row>
    <row r="326" spans="1:1">
      <c r="A326" s="254"/>
    </row>
    <row r="327" spans="1:1">
      <c r="A327" s="254"/>
    </row>
    <row r="328" spans="1:1">
      <c r="A328" s="254"/>
    </row>
    <row r="329" spans="1:1">
      <c r="A329" s="254"/>
    </row>
    <row r="330" spans="1:1">
      <c r="A330" s="254"/>
    </row>
    <row r="331" spans="1:1">
      <c r="A331" s="254"/>
    </row>
    <row r="332" spans="1:1">
      <c r="A332" s="254"/>
    </row>
    <row r="333" spans="1:1">
      <c r="A333" s="254"/>
    </row>
    <row r="334" spans="1:1">
      <c r="A334" s="254"/>
    </row>
    <row r="335" spans="1:1">
      <c r="A335" s="254"/>
    </row>
    <row r="336" spans="1:1">
      <c r="A336" s="254"/>
    </row>
    <row r="337" spans="1:1">
      <c r="A337" s="254"/>
    </row>
    <row r="338" spans="1:1">
      <c r="A338" s="254"/>
    </row>
    <row r="339" spans="1:1">
      <c r="A339" s="254"/>
    </row>
    <row r="340" spans="1:1">
      <c r="A340" s="254"/>
    </row>
    <row r="341" spans="1:1">
      <c r="A341" s="254"/>
    </row>
    <row r="342" spans="1:1">
      <c r="A342" s="254"/>
    </row>
    <row r="343" spans="1:1">
      <c r="A343" s="254"/>
    </row>
    <row r="344" spans="1:1">
      <c r="A344" s="254"/>
    </row>
    <row r="345" spans="1:1">
      <c r="A345" s="254"/>
    </row>
    <row r="346" spans="1:1">
      <c r="A346" s="254"/>
    </row>
    <row r="347" spans="1:1">
      <c r="A347" s="254"/>
    </row>
    <row r="348" spans="1:1">
      <c r="A348" s="254"/>
    </row>
    <row r="349" spans="1:1">
      <c r="A349" s="254"/>
    </row>
    <row r="350" spans="1:1">
      <c r="A350" s="254"/>
    </row>
    <row r="351" spans="1:1">
      <c r="A351" s="254"/>
    </row>
    <row r="352" spans="1:1">
      <c r="A352" s="254"/>
    </row>
    <row r="353" spans="1:1">
      <c r="A353" s="254"/>
    </row>
    <row r="354" spans="1:1">
      <c r="A354" s="254"/>
    </row>
    <row r="355" spans="1:1">
      <c r="A355" s="254"/>
    </row>
    <row r="356" spans="1:1">
      <c r="A356" s="254"/>
    </row>
    <row r="357" spans="1:1">
      <c r="A357" s="254"/>
    </row>
    <row r="358" spans="1:1">
      <c r="A358" s="254"/>
    </row>
    <row r="359" spans="1:1">
      <c r="A359" s="254"/>
    </row>
    <row r="360" spans="1:1">
      <c r="A360" s="254"/>
    </row>
    <row r="361" spans="1:1">
      <c r="A361" s="254"/>
    </row>
    <row r="362" spans="1:1">
      <c r="A362" s="254"/>
    </row>
    <row r="363" spans="1:1">
      <c r="A363" s="254"/>
    </row>
    <row r="364" spans="1:1">
      <c r="A364" s="254"/>
    </row>
    <row r="365" spans="1:1">
      <c r="A365" s="254"/>
    </row>
    <row r="366" spans="1:1">
      <c r="A366" s="254"/>
    </row>
    <row r="367" spans="1:1">
      <c r="A367" s="254"/>
    </row>
    <row r="368" spans="1:1">
      <c r="A368" s="254"/>
    </row>
    <row r="369" spans="1:1">
      <c r="A369" s="254"/>
    </row>
    <row r="370" spans="1:1">
      <c r="A370" s="254"/>
    </row>
    <row r="371" spans="1:1">
      <c r="A371" s="254"/>
    </row>
    <row r="372" spans="1:1">
      <c r="A372" s="254"/>
    </row>
    <row r="373" spans="1:1">
      <c r="A373" s="254"/>
    </row>
    <row r="374" spans="1:1">
      <c r="A374" s="254"/>
    </row>
    <row r="375" spans="1:1">
      <c r="A375" s="254"/>
    </row>
    <row r="376" spans="1:1">
      <c r="A376" s="254"/>
    </row>
    <row r="377" spans="1:1">
      <c r="A377" s="254"/>
    </row>
    <row r="378" spans="1:1">
      <c r="A378" s="254"/>
    </row>
    <row r="379" spans="1:1">
      <c r="A379" s="254"/>
    </row>
    <row r="380" spans="1:1">
      <c r="A380" s="254"/>
    </row>
    <row r="381" spans="1:1">
      <c r="A381" s="254"/>
    </row>
    <row r="382" spans="1:1">
      <c r="A382" s="254"/>
    </row>
    <row r="383" spans="1:1">
      <c r="A383" s="254"/>
    </row>
    <row r="384" spans="1:1">
      <c r="A384" s="254"/>
    </row>
    <row r="385" spans="1:1">
      <c r="A385" s="254"/>
    </row>
    <row r="386" spans="1:1">
      <c r="A386" s="254"/>
    </row>
    <row r="387" spans="1:1">
      <c r="A387" s="254"/>
    </row>
    <row r="388" spans="1:1">
      <c r="A388" s="254"/>
    </row>
    <row r="389" spans="1:1">
      <c r="A389" s="254"/>
    </row>
    <row r="390" spans="1:1">
      <c r="A390" s="254"/>
    </row>
    <row r="391" spans="1:1">
      <c r="A391" s="254"/>
    </row>
    <row r="392" spans="1:1">
      <c r="A392" s="254"/>
    </row>
    <row r="393" spans="1:1">
      <c r="A393" s="254"/>
    </row>
    <row r="394" spans="1:1">
      <c r="A394" s="254"/>
    </row>
    <row r="395" spans="1:1">
      <c r="A395" s="254"/>
    </row>
    <row r="396" spans="1:1">
      <c r="A396" s="254"/>
    </row>
    <row r="397" spans="1:1">
      <c r="A397" s="254"/>
    </row>
    <row r="398" spans="1:1">
      <c r="A398" s="254"/>
    </row>
    <row r="399" spans="1:1">
      <c r="A399" s="254"/>
    </row>
    <row r="400" spans="1:1">
      <c r="A400" s="254"/>
    </row>
    <row r="401" spans="1:1">
      <c r="A401" s="254"/>
    </row>
    <row r="402" spans="1:1">
      <c r="A402" s="254"/>
    </row>
    <row r="403" spans="1:1">
      <c r="A403" s="254"/>
    </row>
    <row r="404" spans="1:1">
      <c r="A404" s="254"/>
    </row>
    <row r="405" spans="1:1">
      <c r="A405" s="254"/>
    </row>
    <row r="406" spans="1:1">
      <c r="A406" s="254"/>
    </row>
    <row r="407" spans="1:1">
      <c r="A407" s="254"/>
    </row>
    <row r="408" spans="1:1">
      <c r="A408" s="254"/>
    </row>
    <row r="409" spans="1:1">
      <c r="A409" s="254"/>
    </row>
    <row r="410" spans="1:1">
      <c r="A410" s="254"/>
    </row>
    <row r="411" spans="1:1">
      <c r="A411" s="254"/>
    </row>
    <row r="412" spans="1:1">
      <c r="A412" s="254"/>
    </row>
    <row r="413" spans="1:1">
      <c r="A413" s="254"/>
    </row>
    <row r="414" spans="1:1">
      <c r="A414" s="254"/>
    </row>
    <row r="415" spans="1:1">
      <c r="A415" s="254"/>
    </row>
    <row r="416" spans="1:1">
      <c r="A416" s="254"/>
    </row>
    <row r="417" spans="1:1">
      <c r="A417" s="254"/>
    </row>
    <row r="418" spans="1:1">
      <c r="A418" s="254"/>
    </row>
    <row r="419" spans="1:1">
      <c r="A419" s="254"/>
    </row>
    <row r="420" spans="1:1">
      <c r="A420" s="254"/>
    </row>
    <row r="421" spans="1:1">
      <c r="A421" s="254"/>
    </row>
    <row r="422" spans="1:1">
      <c r="A422" s="254"/>
    </row>
    <row r="423" spans="1:1">
      <c r="A423" s="254"/>
    </row>
    <row r="424" spans="1:1">
      <c r="A424" s="254"/>
    </row>
    <row r="425" spans="1:1">
      <c r="A425" s="254"/>
    </row>
    <row r="426" spans="1:1">
      <c r="A426" s="254"/>
    </row>
    <row r="427" spans="1:1">
      <c r="A427" s="254"/>
    </row>
    <row r="428" spans="1:1">
      <c r="A428" s="254"/>
    </row>
    <row r="429" spans="1:1">
      <c r="A429" s="254"/>
    </row>
    <row r="430" spans="1:1">
      <c r="A430" s="254"/>
    </row>
    <row r="431" spans="1:1">
      <c r="A431" s="254"/>
    </row>
    <row r="432" spans="1:1">
      <c r="A432" s="254"/>
    </row>
    <row r="433" spans="1:1">
      <c r="A433" s="254"/>
    </row>
    <row r="434" spans="1:1">
      <c r="A434" s="254"/>
    </row>
    <row r="435" spans="1:1">
      <c r="A435" s="254"/>
    </row>
    <row r="436" spans="1:1">
      <c r="A436" s="254"/>
    </row>
    <row r="437" spans="1:1">
      <c r="A437" s="254"/>
    </row>
    <row r="438" spans="1:1">
      <c r="A438" s="254"/>
    </row>
    <row r="439" spans="1:1">
      <c r="A439" s="254"/>
    </row>
    <row r="440" spans="1:1">
      <c r="A440" s="254"/>
    </row>
    <row r="441" spans="1:1">
      <c r="A441" s="254"/>
    </row>
    <row r="442" spans="1:1">
      <c r="A442" s="254"/>
    </row>
    <row r="443" spans="1:1">
      <c r="A443" s="254"/>
    </row>
    <row r="444" spans="1:1">
      <c r="A444" s="254"/>
    </row>
    <row r="445" spans="1:1">
      <c r="A445" s="254"/>
    </row>
    <row r="446" spans="1:1">
      <c r="A446" s="254"/>
    </row>
    <row r="447" spans="1:1">
      <c r="A447" s="254"/>
    </row>
    <row r="448" spans="1:1">
      <c r="A448" s="254"/>
    </row>
    <row r="449" spans="1:1">
      <c r="A449" s="254"/>
    </row>
    <row r="450" spans="1:1">
      <c r="A450" s="254"/>
    </row>
    <row r="451" spans="1:1">
      <c r="A451" s="254"/>
    </row>
    <row r="452" spans="1:1">
      <c r="A452" s="254"/>
    </row>
    <row r="453" spans="1:1">
      <c r="A453" s="254"/>
    </row>
    <row r="454" spans="1:1">
      <c r="A454" s="254"/>
    </row>
    <row r="455" spans="1:1">
      <c r="A455" s="254"/>
    </row>
    <row r="456" spans="1:1">
      <c r="A456" s="254"/>
    </row>
    <row r="457" spans="1:1">
      <c r="A457" s="254"/>
    </row>
    <row r="458" spans="1:1">
      <c r="A458" s="254"/>
    </row>
    <row r="459" spans="1:1">
      <c r="A459" s="254"/>
    </row>
    <row r="460" spans="1:1">
      <c r="A460" s="254"/>
    </row>
    <row r="461" spans="1:1">
      <c r="A461" s="254"/>
    </row>
    <row r="462" spans="1:1">
      <c r="A462" s="254"/>
    </row>
    <row r="463" spans="1:1">
      <c r="A463" s="254"/>
    </row>
    <row r="464" spans="1:1">
      <c r="A464" s="254"/>
    </row>
    <row r="465" spans="1:1">
      <c r="A465" s="254"/>
    </row>
    <row r="466" spans="1:1">
      <c r="A466" s="254"/>
    </row>
    <row r="467" spans="1:1">
      <c r="A467" s="254"/>
    </row>
    <row r="468" spans="1:1">
      <c r="A468" s="254"/>
    </row>
    <row r="469" spans="1:1">
      <c r="A469" s="254"/>
    </row>
    <row r="470" spans="1:1">
      <c r="A470" s="254"/>
    </row>
    <row r="471" spans="1:1">
      <c r="A471" s="254"/>
    </row>
    <row r="472" spans="1:1">
      <c r="A472" s="254"/>
    </row>
    <row r="473" spans="1:1">
      <c r="A473" s="254"/>
    </row>
    <row r="474" spans="1:1">
      <c r="A474" s="254"/>
    </row>
    <row r="475" spans="1:1">
      <c r="A475" s="254"/>
    </row>
    <row r="476" spans="1:1">
      <c r="A476" s="254"/>
    </row>
    <row r="477" spans="1:1">
      <c r="A477" s="254"/>
    </row>
    <row r="478" spans="1:1">
      <c r="A478" s="254"/>
    </row>
    <row r="479" spans="1:1">
      <c r="A479" s="254"/>
    </row>
    <row r="480" spans="1:1">
      <c r="A480" s="254"/>
    </row>
    <row r="481" spans="1:1">
      <c r="A481" s="254"/>
    </row>
    <row r="482" spans="1:1">
      <c r="A482" s="254"/>
    </row>
    <row r="483" spans="1:1">
      <c r="A483" s="254"/>
    </row>
    <row r="484" spans="1:1">
      <c r="A484" s="254"/>
    </row>
    <row r="485" spans="1:1">
      <c r="A485" s="254"/>
    </row>
    <row r="486" spans="1:1">
      <c r="A486" s="254"/>
    </row>
    <row r="487" spans="1:1">
      <c r="A487" s="254"/>
    </row>
    <row r="488" spans="1:1">
      <c r="A488" s="254"/>
    </row>
    <row r="489" spans="1:1">
      <c r="A489" s="254"/>
    </row>
    <row r="490" spans="1:1">
      <c r="A490" s="254"/>
    </row>
    <row r="491" spans="1:1">
      <c r="A491" s="254"/>
    </row>
    <row r="492" spans="1:1">
      <c r="A492" s="254"/>
    </row>
    <row r="493" spans="1:1">
      <c r="A493" s="254"/>
    </row>
    <row r="494" spans="1:1">
      <c r="A494" s="254"/>
    </row>
    <row r="495" spans="1:1">
      <c r="A495" s="254"/>
    </row>
    <row r="496" spans="1:1">
      <c r="A496" s="254"/>
    </row>
    <row r="497" spans="1:1">
      <c r="A497" s="254"/>
    </row>
    <row r="498" spans="1:1">
      <c r="A498" s="254"/>
    </row>
    <row r="499" spans="1:1">
      <c r="A499" s="254"/>
    </row>
    <row r="500" spans="1:1">
      <c r="A500" s="254"/>
    </row>
    <row r="501" spans="1:1">
      <c r="A501" s="254"/>
    </row>
    <row r="502" spans="1:1">
      <c r="A502" s="254"/>
    </row>
    <row r="503" spans="1:1">
      <c r="A503" s="254"/>
    </row>
    <row r="504" spans="1:1">
      <c r="A504" s="254"/>
    </row>
    <row r="505" spans="1:1">
      <c r="A505" s="254"/>
    </row>
    <row r="506" spans="1:1">
      <c r="A506" s="254"/>
    </row>
    <row r="507" spans="1:1">
      <c r="A507" s="254"/>
    </row>
    <row r="508" spans="1:1">
      <c r="A508" s="254"/>
    </row>
    <row r="509" spans="1:1">
      <c r="A509" s="254"/>
    </row>
    <row r="510" spans="1:1">
      <c r="A510" s="254"/>
    </row>
    <row r="511" spans="1:1">
      <c r="A511" s="254"/>
    </row>
    <row r="512" spans="1:1">
      <c r="A512" s="254"/>
    </row>
    <row r="513" spans="1:1">
      <c r="A513" s="254"/>
    </row>
    <row r="514" spans="1:1">
      <c r="A514" s="254"/>
    </row>
    <row r="515" spans="1:1">
      <c r="A515" s="254"/>
    </row>
    <row r="516" spans="1:1">
      <c r="A516" s="254"/>
    </row>
    <row r="517" spans="1:1">
      <c r="A517" s="254"/>
    </row>
    <row r="518" spans="1:1">
      <c r="A518" s="254"/>
    </row>
    <row r="519" spans="1:1">
      <c r="A519" s="254"/>
    </row>
    <row r="520" spans="1:1">
      <c r="A520" s="254"/>
    </row>
    <row r="521" spans="1:1">
      <c r="A521" s="254"/>
    </row>
    <row r="522" spans="1:1">
      <c r="A522" s="254"/>
    </row>
    <row r="523" spans="1:1">
      <c r="A523" s="254"/>
    </row>
    <row r="524" spans="1:1">
      <c r="A524" s="254"/>
    </row>
    <row r="525" spans="1:1">
      <c r="A525" s="254"/>
    </row>
    <row r="526" spans="1:1">
      <c r="A526" s="254"/>
    </row>
    <row r="527" spans="1:1">
      <c r="A527" s="254"/>
    </row>
    <row r="528" spans="1:1">
      <c r="A528" s="254"/>
    </row>
    <row r="529" spans="1:1">
      <c r="A529" s="254"/>
    </row>
    <row r="530" spans="1:1">
      <c r="A530" s="254"/>
    </row>
    <row r="531" spans="1:1">
      <c r="A531" s="254"/>
    </row>
    <row r="532" spans="1:1">
      <c r="A532" s="254"/>
    </row>
    <row r="533" spans="1:1">
      <c r="A533" s="254"/>
    </row>
    <row r="534" spans="1:1">
      <c r="A534" s="254"/>
    </row>
    <row r="535" spans="1:1">
      <c r="A535" s="254"/>
    </row>
    <row r="536" spans="1:1">
      <c r="A536" s="254"/>
    </row>
    <row r="537" spans="1:1">
      <c r="A537" s="254"/>
    </row>
    <row r="538" spans="1:1">
      <c r="A538" s="254"/>
    </row>
    <row r="539" spans="1:1">
      <c r="A539" s="254"/>
    </row>
    <row r="540" spans="1:1">
      <c r="A540" s="254"/>
    </row>
    <row r="541" spans="1:1">
      <c r="A541" s="254"/>
    </row>
    <row r="542" spans="1:1">
      <c r="A542" s="254"/>
    </row>
    <row r="543" spans="1:1">
      <c r="A543" s="254"/>
    </row>
    <row r="544" spans="1:1">
      <c r="A544" s="254"/>
    </row>
    <row r="545" spans="1:1">
      <c r="A545" s="254"/>
    </row>
    <row r="546" spans="1:1">
      <c r="A546" s="254"/>
    </row>
    <row r="547" spans="1:1">
      <c r="A547" s="254"/>
    </row>
    <row r="548" spans="1:1">
      <c r="A548" s="254"/>
    </row>
    <row r="549" spans="1:1">
      <c r="A549" s="254"/>
    </row>
    <row r="550" spans="1:1">
      <c r="A550" s="254"/>
    </row>
    <row r="551" spans="1:1">
      <c r="A551" s="254"/>
    </row>
    <row r="552" spans="1:1">
      <c r="A552" s="254"/>
    </row>
    <row r="553" spans="1:1">
      <c r="A553" s="254"/>
    </row>
    <row r="554" spans="1:1">
      <c r="A554" s="254"/>
    </row>
    <row r="555" spans="1:1">
      <c r="A555" s="254"/>
    </row>
    <row r="556" spans="1:1">
      <c r="A556" s="254"/>
    </row>
    <row r="557" spans="1:1">
      <c r="A557" s="254"/>
    </row>
    <row r="558" spans="1:1">
      <c r="A558" s="254"/>
    </row>
    <row r="559" spans="1:1">
      <c r="A559" s="254"/>
    </row>
    <row r="560" spans="1:1">
      <c r="A560" s="254"/>
    </row>
    <row r="561" spans="1:1">
      <c r="A561" s="254"/>
    </row>
    <row r="562" spans="1:1">
      <c r="A562" s="254"/>
    </row>
    <row r="563" spans="1:1">
      <c r="A563" s="254"/>
    </row>
    <row r="564" spans="1:1">
      <c r="A564" s="254"/>
    </row>
    <row r="565" spans="1:1">
      <c r="A565" s="254"/>
    </row>
    <row r="566" spans="1:1">
      <c r="A566" s="254"/>
    </row>
    <row r="567" spans="1:1">
      <c r="A567" s="254"/>
    </row>
    <row r="568" spans="1:1">
      <c r="A568" s="254"/>
    </row>
    <row r="569" spans="1:1">
      <c r="A569" s="254"/>
    </row>
    <row r="570" spans="1:1">
      <c r="A570" s="254"/>
    </row>
    <row r="571" spans="1:1">
      <c r="A571" s="254"/>
    </row>
    <row r="572" spans="1:1">
      <c r="A572" s="254"/>
    </row>
    <row r="573" spans="1:1">
      <c r="A573" s="254"/>
    </row>
    <row r="574" spans="1:1">
      <c r="A574" s="254"/>
    </row>
    <row r="575" spans="1:1">
      <c r="A575" s="254"/>
    </row>
    <row r="576" spans="1:1">
      <c r="A576" s="254"/>
    </row>
    <row r="577" spans="1:1">
      <c r="A577" s="254"/>
    </row>
    <row r="578" spans="1:1">
      <c r="A578" s="254"/>
    </row>
    <row r="579" spans="1:1">
      <c r="A579" s="254"/>
    </row>
    <row r="580" spans="1:1">
      <c r="A580" s="254"/>
    </row>
    <row r="581" spans="1:1">
      <c r="A581" s="254"/>
    </row>
    <row r="582" spans="1:1">
      <c r="A582" s="254"/>
    </row>
    <row r="583" spans="1:1">
      <c r="A583" s="254"/>
    </row>
    <row r="584" spans="1:1">
      <c r="A584" s="254"/>
    </row>
    <row r="585" spans="1:1">
      <c r="A585" s="254"/>
    </row>
    <row r="586" spans="1:1">
      <c r="A586" s="254"/>
    </row>
    <row r="587" spans="1:1">
      <c r="A587" s="254"/>
    </row>
    <row r="588" spans="1:1">
      <c r="A588" s="254"/>
    </row>
    <row r="589" spans="1:1">
      <c r="A589" s="254"/>
    </row>
    <row r="590" spans="1:1">
      <c r="A590" s="254"/>
    </row>
    <row r="591" spans="1:1">
      <c r="A591" s="254"/>
    </row>
    <row r="592" spans="1:1">
      <c r="A592" s="254"/>
    </row>
    <row r="593" spans="1:1">
      <c r="A593" s="254"/>
    </row>
    <row r="594" spans="1:1">
      <c r="A594" s="254"/>
    </row>
    <row r="595" spans="1:1">
      <c r="A595" s="254"/>
    </row>
    <row r="596" spans="1:1">
      <c r="A596" s="254"/>
    </row>
    <row r="597" spans="1:1">
      <c r="A597" s="254"/>
    </row>
    <row r="598" spans="1:1">
      <c r="A598" s="254"/>
    </row>
    <row r="599" spans="1:1">
      <c r="A599" s="254"/>
    </row>
    <row r="600" spans="1:1">
      <c r="A600" s="254"/>
    </row>
    <row r="601" spans="1:1">
      <c r="A601" s="254"/>
    </row>
    <row r="602" spans="1:1">
      <c r="A602" s="254"/>
    </row>
    <row r="603" spans="1:1">
      <c r="A603" s="254"/>
    </row>
    <row r="604" spans="1:1">
      <c r="A604" s="254"/>
    </row>
    <row r="605" spans="1:1">
      <c r="A605" s="254"/>
    </row>
    <row r="606" spans="1:1">
      <c r="A606" s="254"/>
    </row>
    <row r="607" spans="1:1">
      <c r="A607" s="254"/>
    </row>
    <row r="608" spans="1:1">
      <c r="A608" s="254"/>
    </row>
    <row r="609" spans="1:1">
      <c r="A609" s="254"/>
    </row>
    <row r="610" spans="1:1">
      <c r="A610" s="254"/>
    </row>
    <row r="611" spans="1:1">
      <c r="A611" s="254"/>
    </row>
    <row r="612" spans="1:1">
      <c r="A612" s="254"/>
    </row>
    <row r="613" spans="1:1">
      <c r="A613" s="254"/>
    </row>
    <row r="614" spans="1:1">
      <c r="A614" s="254"/>
    </row>
    <row r="615" spans="1:1">
      <c r="A615" s="254"/>
    </row>
    <row r="616" spans="1:1">
      <c r="A616" s="254"/>
    </row>
    <row r="617" spans="1:1">
      <c r="A617" s="254"/>
    </row>
    <row r="618" spans="1:1">
      <c r="A618" s="254"/>
    </row>
    <row r="619" spans="1:1">
      <c r="A619" s="254"/>
    </row>
    <row r="620" spans="1:1">
      <c r="A620" s="254"/>
    </row>
    <row r="621" spans="1:1">
      <c r="A621" s="254"/>
    </row>
    <row r="622" spans="1:1">
      <c r="A622" s="254"/>
    </row>
    <row r="623" spans="1:1">
      <c r="A623" s="254"/>
    </row>
    <row r="624" spans="1:1">
      <c r="A624" s="254"/>
    </row>
    <row r="625" spans="1:1">
      <c r="A625" s="254"/>
    </row>
    <row r="626" spans="1:1">
      <c r="A626" s="254"/>
    </row>
    <row r="627" spans="1:1">
      <c r="A627" s="254"/>
    </row>
    <row r="628" spans="1:1">
      <c r="A628" s="254"/>
    </row>
    <row r="629" spans="1:1">
      <c r="A629" s="254"/>
    </row>
    <row r="630" spans="1:1">
      <c r="A630" s="254"/>
    </row>
    <row r="631" spans="1:1">
      <c r="A631" s="254"/>
    </row>
    <row r="632" spans="1:1">
      <c r="A632" s="254"/>
    </row>
    <row r="633" spans="1:1">
      <c r="A633" s="254"/>
    </row>
    <row r="634" spans="1:1">
      <c r="A634" s="254"/>
    </row>
    <row r="635" spans="1:1">
      <c r="A635" s="254"/>
    </row>
    <row r="636" spans="1:1">
      <c r="A636" s="254"/>
    </row>
    <row r="637" spans="1:1">
      <c r="A637" s="254"/>
    </row>
    <row r="638" spans="1:1">
      <c r="A638" s="254"/>
    </row>
    <row r="639" spans="1:1">
      <c r="A639" s="254"/>
    </row>
    <row r="640" spans="1:1">
      <c r="A640" s="254"/>
    </row>
    <row r="641" spans="1:1">
      <c r="A641" s="254"/>
    </row>
    <row r="642" spans="1:1">
      <c r="A642" s="254"/>
    </row>
    <row r="643" spans="1:1">
      <c r="A643" s="254"/>
    </row>
    <row r="644" spans="1:1">
      <c r="A644" s="254"/>
    </row>
    <row r="645" spans="1:1">
      <c r="A645" s="254"/>
    </row>
    <row r="646" spans="1:1">
      <c r="A646" s="254"/>
    </row>
    <row r="647" spans="1:1">
      <c r="A647" s="254"/>
    </row>
    <row r="648" spans="1:1">
      <c r="A648" s="254"/>
    </row>
    <row r="649" spans="1:1">
      <c r="A649" s="254"/>
    </row>
    <row r="650" spans="1:1">
      <c r="A650" s="254"/>
    </row>
    <row r="651" spans="1:1">
      <c r="A651" s="254"/>
    </row>
    <row r="652" spans="1:1">
      <c r="A652" s="254"/>
    </row>
    <row r="653" spans="1:1">
      <c r="A653" s="254"/>
    </row>
    <row r="654" spans="1:1">
      <c r="A654" s="254"/>
    </row>
    <row r="655" spans="1:1">
      <c r="A655" s="254"/>
    </row>
    <row r="656" spans="1:1">
      <c r="A656" s="254"/>
    </row>
    <row r="657" spans="1:1">
      <c r="A657" s="254"/>
    </row>
    <row r="658" spans="1:1">
      <c r="A658" s="254"/>
    </row>
    <row r="659" spans="1:1">
      <c r="A659" s="254"/>
    </row>
    <row r="660" spans="1:1">
      <c r="A660" s="254"/>
    </row>
    <row r="661" spans="1:1">
      <c r="A661" s="254"/>
    </row>
    <row r="662" spans="1:1">
      <c r="A662" s="254"/>
    </row>
    <row r="663" spans="1:1">
      <c r="A663" s="254"/>
    </row>
    <row r="664" spans="1:1">
      <c r="A664" s="254"/>
    </row>
    <row r="665" spans="1:1">
      <c r="A665" s="254"/>
    </row>
    <row r="666" spans="1:1">
      <c r="A666" s="254"/>
    </row>
    <row r="667" spans="1:1">
      <c r="A667" s="254"/>
    </row>
    <row r="668" spans="1:1">
      <c r="A668" s="254"/>
    </row>
    <row r="669" spans="1:1">
      <c r="A669" s="254"/>
    </row>
    <row r="670" spans="1:1">
      <c r="A670" s="254"/>
    </row>
    <row r="671" spans="1:1">
      <c r="A671" s="254"/>
    </row>
    <row r="672" spans="1:1">
      <c r="A672" s="254"/>
    </row>
    <row r="673" spans="1:1">
      <c r="A673" s="254"/>
    </row>
    <row r="674" spans="1:1">
      <c r="A674" s="254"/>
    </row>
    <row r="675" spans="1:1">
      <c r="A675" s="254"/>
    </row>
    <row r="676" spans="1:1">
      <c r="A676" s="254"/>
    </row>
    <row r="677" spans="1:1">
      <c r="A677" s="254"/>
    </row>
    <row r="678" spans="1:1">
      <c r="A678" s="254"/>
    </row>
    <row r="679" spans="1:1">
      <c r="A679" s="254"/>
    </row>
    <row r="680" spans="1:1">
      <c r="A680" s="254"/>
    </row>
    <row r="681" spans="1:1">
      <c r="A681" s="254"/>
    </row>
    <row r="682" spans="1:1">
      <c r="A682" s="254"/>
    </row>
    <row r="683" spans="1:1">
      <c r="A683" s="254"/>
    </row>
    <row r="684" spans="1:1">
      <c r="A684" s="254"/>
    </row>
    <row r="685" spans="1:1">
      <c r="A685" s="254"/>
    </row>
    <row r="686" spans="1:1">
      <c r="A686" s="254"/>
    </row>
    <row r="687" spans="1:1">
      <c r="A687" s="254"/>
    </row>
    <row r="688" spans="1:1">
      <c r="A688" s="254"/>
    </row>
    <row r="689" spans="1:1">
      <c r="A689" s="254"/>
    </row>
    <row r="690" spans="1:1">
      <c r="A690" s="254"/>
    </row>
    <row r="691" spans="1:1">
      <c r="A691" s="254"/>
    </row>
    <row r="692" spans="1:1">
      <c r="A692" s="254"/>
    </row>
    <row r="693" spans="1:1">
      <c r="A693" s="254"/>
    </row>
    <row r="694" spans="1:1">
      <c r="A694" s="254"/>
    </row>
    <row r="695" spans="1:1">
      <c r="A695" s="254"/>
    </row>
    <row r="696" spans="1:1">
      <c r="A696" s="254"/>
    </row>
    <row r="697" spans="1:1">
      <c r="A697" s="254"/>
    </row>
    <row r="698" spans="1:1">
      <c r="A698" s="254"/>
    </row>
    <row r="699" spans="1:1">
      <c r="A699" s="254"/>
    </row>
    <row r="700" spans="1:1">
      <c r="A700" s="254"/>
    </row>
    <row r="701" spans="1:1">
      <c r="A701" s="254"/>
    </row>
    <row r="702" spans="1:1">
      <c r="A702" s="254"/>
    </row>
    <row r="703" spans="1:1">
      <c r="A703" s="254"/>
    </row>
    <row r="704" spans="1:1">
      <c r="A704" s="254"/>
    </row>
    <row r="705" spans="1:1">
      <c r="A705" s="254"/>
    </row>
    <row r="706" spans="1:1">
      <c r="A706" s="254"/>
    </row>
    <row r="707" spans="1:1">
      <c r="A707" s="254"/>
    </row>
    <row r="708" spans="1:1">
      <c r="A708" s="254"/>
    </row>
    <row r="709" spans="1:1">
      <c r="A709" s="254"/>
    </row>
    <row r="710" spans="1:1">
      <c r="A710" s="254"/>
    </row>
    <row r="711" spans="1:1">
      <c r="A711" s="254"/>
    </row>
    <row r="712" spans="1:1">
      <c r="A712" s="254"/>
    </row>
    <row r="713" spans="1:1">
      <c r="A713" s="254"/>
    </row>
    <row r="714" spans="1:1">
      <c r="A714" s="254"/>
    </row>
    <row r="715" spans="1:1">
      <c r="A715" s="254"/>
    </row>
    <row r="716" spans="1:1">
      <c r="A716" s="254"/>
    </row>
    <row r="717" spans="1:1">
      <c r="A717" s="254"/>
    </row>
    <row r="718" spans="1:1">
      <c r="A718" s="254"/>
    </row>
    <row r="719" spans="1:1">
      <c r="A719" s="254"/>
    </row>
    <row r="720" spans="1:1">
      <c r="A720" s="254"/>
    </row>
    <row r="721" spans="1:1">
      <c r="A721" s="254"/>
    </row>
    <row r="722" spans="1:1">
      <c r="A722" s="254"/>
    </row>
    <row r="723" spans="1:1">
      <c r="A723" s="254"/>
    </row>
    <row r="724" spans="1:1">
      <c r="A724" s="254"/>
    </row>
    <row r="725" spans="1:1">
      <c r="A725" s="254"/>
    </row>
    <row r="726" spans="1:1">
      <c r="A726" s="254"/>
    </row>
    <row r="727" spans="1:1">
      <c r="A727" s="254"/>
    </row>
    <row r="728" spans="1:1">
      <c r="A728" s="254"/>
    </row>
    <row r="729" spans="1:1">
      <c r="A729" s="254"/>
    </row>
    <row r="730" spans="1:1">
      <c r="A730" s="254"/>
    </row>
    <row r="731" spans="1:1">
      <c r="A731" s="254"/>
    </row>
    <row r="732" spans="1:1">
      <c r="A732" s="254"/>
    </row>
    <row r="733" spans="1:1">
      <c r="A733" s="254"/>
    </row>
    <row r="734" spans="1:1">
      <c r="A734" s="254"/>
    </row>
    <row r="735" spans="1:1">
      <c r="A735" s="254"/>
    </row>
    <row r="736" spans="1:1">
      <c r="A736" s="254"/>
    </row>
    <row r="737" spans="1:1">
      <c r="A737" s="254"/>
    </row>
    <row r="738" spans="1:1">
      <c r="A738" s="254"/>
    </row>
    <row r="739" spans="1:1">
      <c r="A739" s="254"/>
    </row>
    <row r="740" spans="1:1">
      <c r="A740" s="254"/>
    </row>
    <row r="741" spans="1:1">
      <c r="A741" s="254"/>
    </row>
    <row r="742" spans="1:1">
      <c r="A742" s="254"/>
    </row>
    <row r="743" spans="1:1">
      <c r="A743" s="254"/>
    </row>
    <row r="744" spans="1:1">
      <c r="A744" s="254"/>
    </row>
    <row r="745" spans="1:1">
      <c r="A745" s="254"/>
    </row>
    <row r="746" spans="1:1">
      <c r="A746" s="254"/>
    </row>
    <row r="747" spans="1:1">
      <c r="A747" s="254"/>
    </row>
    <row r="748" spans="1:1">
      <c r="A748" s="254"/>
    </row>
    <row r="749" spans="1:1">
      <c r="A749" s="254"/>
    </row>
    <row r="750" spans="1:1">
      <c r="A750" s="254"/>
    </row>
    <row r="751" spans="1:1">
      <c r="A751" s="254"/>
    </row>
    <row r="752" spans="1:1">
      <c r="A752" s="254"/>
    </row>
    <row r="753" spans="1:1">
      <c r="A753" s="254"/>
    </row>
    <row r="754" spans="1:1">
      <c r="A754" s="254"/>
    </row>
    <row r="755" spans="1:1">
      <c r="A755" s="254"/>
    </row>
    <row r="756" spans="1:1">
      <c r="A756" s="254"/>
    </row>
    <row r="757" spans="1:1">
      <c r="A757" s="254"/>
    </row>
    <row r="758" spans="1:1">
      <c r="A758" s="254"/>
    </row>
    <row r="759" spans="1:1">
      <c r="A759" s="254"/>
    </row>
    <row r="760" spans="1:1">
      <c r="A760" s="254"/>
    </row>
    <row r="761" spans="1:1">
      <c r="A761" s="254"/>
    </row>
    <row r="762" spans="1:1">
      <c r="A762" s="254"/>
    </row>
    <row r="763" spans="1:1">
      <c r="A763" s="254"/>
    </row>
    <row r="764" spans="1:1">
      <c r="A764" s="254"/>
    </row>
    <row r="765" spans="1:1">
      <c r="A765" s="254"/>
    </row>
    <row r="766" spans="1:1">
      <c r="A766" s="254"/>
    </row>
    <row r="767" spans="1:1">
      <c r="A767" s="254"/>
    </row>
    <row r="768" spans="1:1">
      <c r="A768" s="254"/>
    </row>
    <row r="769" spans="1:1">
      <c r="A769" s="254"/>
    </row>
    <row r="770" spans="1:1">
      <c r="A770" s="254"/>
    </row>
    <row r="771" spans="1:1">
      <c r="A771" s="254"/>
    </row>
    <row r="772" spans="1:1">
      <c r="A772" s="254"/>
    </row>
    <row r="773" spans="1:1">
      <c r="A773" s="254"/>
    </row>
    <row r="774" spans="1:1">
      <c r="A774" s="254"/>
    </row>
    <row r="775" spans="1:1">
      <c r="A775" s="254"/>
    </row>
    <row r="776" spans="1:1">
      <c r="A776" s="254"/>
    </row>
    <row r="777" spans="1:1">
      <c r="A777" s="254"/>
    </row>
    <row r="778" spans="1:1">
      <c r="A778" s="254"/>
    </row>
    <row r="779" spans="1:1">
      <c r="A779" s="254"/>
    </row>
    <row r="780" spans="1:1">
      <c r="A780" s="254"/>
    </row>
    <row r="781" spans="1:1">
      <c r="A781" s="254"/>
    </row>
    <row r="782" spans="1:1">
      <c r="A782" s="254"/>
    </row>
    <row r="783" spans="1:1">
      <c r="A783" s="254"/>
    </row>
    <row r="784" spans="1:1">
      <c r="A784" s="254"/>
    </row>
    <row r="785" spans="1:1">
      <c r="A785" s="254"/>
    </row>
    <row r="786" spans="1:1">
      <c r="A786" s="254"/>
    </row>
    <row r="787" spans="1:1">
      <c r="A787" s="254"/>
    </row>
    <row r="788" spans="1:1">
      <c r="A788" s="254"/>
    </row>
    <row r="789" spans="1:1">
      <c r="A789" s="254"/>
    </row>
    <row r="790" spans="1:1">
      <c r="A790" s="254"/>
    </row>
    <row r="791" spans="1:1">
      <c r="A791" s="254"/>
    </row>
    <row r="792" spans="1:1">
      <c r="A792" s="254"/>
    </row>
    <row r="793" spans="1:1">
      <c r="A793" s="254"/>
    </row>
    <row r="794" spans="1:1">
      <c r="A794" s="254"/>
    </row>
    <row r="795" spans="1:1">
      <c r="A795" s="254"/>
    </row>
    <row r="796" spans="1:1">
      <c r="A796" s="254"/>
    </row>
    <row r="797" spans="1:1">
      <c r="A797" s="254"/>
    </row>
    <row r="798" spans="1:1">
      <c r="A798" s="254"/>
    </row>
    <row r="799" spans="1:1">
      <c r="A799" s="254"/>
    </row>
    <row r="800" spans="1:1">
      <c r="A800" s="254"/>
    </row>
    <row r="801" spans="1:1">
      <c r="A801" s="254"/>
    </row>
    <row r="802" spans="1:1">
      <c r="A802" s="254"/>
    </row>
    <row r="803" spans="1:1">
      <c r="A803" s="254"/>
    </row>
    <row r="804" spans="1:1">
      <c r="A804" s="254"/>
    </row>
    <row r="805" spans="1:1">
      <c r="A805" s="254"/>
    </row>
    <row r="806" spans="1:1">
      <c r="A806" s="254"/>
    </row>
    <row r="807" spans="1:1">
      <c r="A807" s="254"/>
    </row>
    <row r="808" spans="1:1">
      <c r="A808" s="254"/>
    </row>
    <row r="809" spans="1:1">
      <c r="A809" s="254"/>
    </row>
    <row r="810" spans="1:1">
      <c r="A810" s="254"/>
    </row>
    <row r="811" spans="1:1">
      <c r="A811" s="254"/>
    </row>
    <row r="812" spans="1:1">
      <c r="A812" s="254"/>
    </row>
    <row r="813" spans="1:1">
      <c r="A813" s="254"/>
    </row>
    <row r="814" spans="1:1">
      <c r="A814" s="254"/>
    </row>
    <row r="815" spans="1:1">
      <c r="A815" s="254"/>
    </row>
    <row r="816" spans="1:1">
      <c r="A816" s="254"/>
    </row>
    <row r="817" spans="1:1">
      <c r="A817" s="254"/>
    </row>
    <row r="818" spans="1:1">
      <c r="A818" s="254"/>
    </row>
    <row r="819" spans="1:1">
      <c r="A819" s="254"/>
    </row>
    <row r="820" spans="1:1">
      <c r="A820" s="254"/>
    </row>
    <row r="821" spans="1:1">
      <c r="A821" s="254"/>
    </row>
    <row r="822" spans="1:1">
      <c r="A822" s="254"/>
    </row>
    <row r="823" spans="1:1">
      <c r="A823" s="254"/>
    </row>
    <row r="824" spans="1:1">
      <c r="A824" s="254"/>
    </row>
    <row r="825" spans="1:1">
      <c r="A825" s="254"/>
    </row>
    <row r="826" spans="1:1">
      <c r="A826" s="254"/>
    </row>
    <row r="827" spans="1:1">
      <c r="A827" s="254"/>
    </row>
    <row r="828" spans="1:1">
      <c r="A828" s="254"/>
    </row>
    <row r="829" spans="1:1">
      <c r="A829" s="254"/>
    </row>
    <row r="830" spans="1:1">
      <c r="A830" s="254"/>
    </row>
    <row r="831" spans="1:1">
      <c r="A831" s="254"/>
    </row>
    <row r="832" spans="1:1">
      <c r="A832" s="254"/>
    </row>
    <row r="833" spans="1:1">
      <c r="A833" s="254"/>
    </row>
    <row r="834" spans="1:1">
      <c r="A834" s="254"/>
    </row>
    <row r="835" spans="1:1">
      <c r="A835" s="254"/>
    </row>
    <row r="836" spans="1:1">
      <c r="A836" s="254"/>
    </row>
    <row r="837" spans="1:1">
      <c r="A837" s="254"/>
    </row>
    <row r="838" spans="1:1">
      <c r="A838" s="254"/>
    </row>
    <row r="839" spans="1:1">
      <c r="A839" s="254"/>
    </row>
    <row r="840" spans="1:1">
      <c r="A840" s="254"/>
    </row>
    <row r="841" spans="1:1">
      <c r="A841" s="254"/>
    </row>
    <row r="842" spans="1:1">
      <c r="A842" s="254"/>
    </row>
    <row r="843" spans="1:1">
      <c r="A843" s="254"/>
    </row>
    <row r="844" spans="1:1">
      <c r="A844" s="254"/>
    </row>
    <row r="845" spans="1:1">
      <c r="A845" s="254"/>
    </row>
    <row r="846" spans="1:1">
      <c r="A846" s="254"/>
    </row>
    <row r="847" spans="1:1">
      <c r="A847" s="254"/>
    </row>
    <row r="848" spans="1:1">
      <c r="A848" s="254"/>
    </row>
    <row r="849" spans="1:1">
      <c r="A849" s="254"/>
    </row>
    <row r="850" spans="1:1">
      <c r="A850" s="254"/>
    </row>
    <row r="851" spans="1:1">
      <c r="A851" s="254"/>
    </row>
    <row r="852" spans="1:1">
      <c r="A852" s="254"/>
    </row>
    <row r="853" spans="1:1">
      <c r="A853" s="254"/>
    </row>
    <row r="854" spans="1:1">
      <c r="A854" s="254"/>
    </row>
    <row r="855" spans="1:1">
      <c r="A855" s="254"/>
    </row>
    <row r="856" spans="1:1">
      <c r="A856" s="254"/>
    </row>
    <row r="857" spans="1:1">
      <c r="A857" s="254"/>
    </row>
    <row r="858" spans="1:1">
      <c r="A858" s="254"/>
    </row>
    <row r="859" spans="1:1">
      <c r="A859" s="254"/>
    </row>
    <row r="860" spans="1:1">
      <c r="A860" s="254"/>
    </row>
    <row r="861" spans="1:1">
      <c r="A861" s="254"/>
    </row>
    <row r="862" spans="1:1">
      <c r="A862" s="254"/>
    </row>
    <row r="863" spans="1:1">
      <c r="A863" s="254"/>
    </row>
    <row r="864" spans="1:1">
      <c r="A864" s="254"/>
    </row>
    <row r="865" spans="1:1">
      <c r="A865" s="254"/>
    </row>
    <row r="866" spans="1:1">
      <c r="A866" s="254"/>
    </row>
    <row r="867" spans="1:1">
      <c r="A867" s="254"/>
    </row>
  </sheetData>
  <mergeCells count="17">
    <mergeCell ref="O34:O35"/>
    <mergeCell ref="A1:O1"/>
    <mergeCell ref="A2:O2"/>
    <mergeCell ref="A3:O3"/>
    <mergeCell ref="A5:A6"/>
    <mergeCell ref="B5:B6"/>
    <mergeCell ref="C5:C6"/>
    <mergeCell ref="D5:D6"/>
    <mergeCell ref="E5:E6"/>
    <mergeCell ref="F5:N5"/>
    <mergeCell ref="O31:O33"/>
    <mergeCell ref="O5:O6"/>
    <mergeCell ref="O7:O12"/>
    <mergeCell ref="O13:O18"/>
    <mergeCell ref="O19:O22"/>
    <mergeCell ref="O23:O25"/>
    <mergeCell ref="O26:O29"/>
  </mergeCells>
  <phoneticPr fontId="107" type="noConversion"/>
  <pageMargins left="0.35433070866141736" right="0.11811023622047245" top="0.27559055118110237" bottom="0.31496062992125984" header="0.31496062992125984" footer="0.31496062992125984"/>
  <pageSetup paperSize="9" scale="90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75"/>
  <sheetViews>
    <sheetView workbookViewId="0">
      <selection activeCell="R12" sqref="R12"/>
    </sheetView>
  </sheetViews>
  <sheetFormatPr defaultColWidth="5.61328125" defaultRowHeight="13.2"/>
  <cols>
    <col min="1" max="1" width="22.765625" style="236" bestFit="1" customWidth="1"/>
    <col min="2" max="2" width="6.921875" style="237" customWidth="1"/>
    <col min="3" max="3" width="6.4609375" style="238" customWidth="1"/>
    <col min="4" max="5" width="7.3828125" style="237" customWidth="1"/>
    <col min="6" max="6" width="7.3828125" style="94" customWidth="1"/>
    <col min="7" max="7" width="5.765625" style="12" hidden="1" customWidth="1"/>
    <col min="8" max="9" width="7.3828125" style="12" customWidth="1"/>
    <col min="10" max="14" width="0" style="12" hidden="1" customWidth="1"/>
    <col min="15" max="256" width="5.61328125" style="12"/>
    <col min="257" max="257" width="22.765625" style="12" bestFit="1" customWidth="1"/>
    <col min="258" max="258" width="6.921875" style="12" customWidth="1"/>
    <col min="259" max="259" width="6.4609375" style="12" customWidth="1"/>
    <col min="260" max="262" width="7.3828125" style="12" customWidth="1"/>
    <col min="263" max="263" width="0" style="12" hidden="1" customWidth="1"/>
    <col min="264" max="265" width="7.3828125" style="12" customWidth="1"/>
    <col min="266" max="270" width="0" style="12" hidden="1" customWidth="1"/>
    <col min="271" max="512" width="5.61328125" style="12"/>
    <col min="513" max="513" width="22.765625" style="12" bestFit="1" customWidth="1"/>
    <col min="514" max="514" width="6.921875" style="12" customWidth="1"/>
    <col min="515" max="515" width="6.4609375" style="12" customWidth="1"/>
    <col min="516" max="518" width="7.3828125" style="12" customWidth="1"/>
    <col min="519" max="519" width="0" style="12" hidden="1" customWidth="1"/>
    <col min="520" max="521" width="7.3828125" style="12" customWidth="1"/>
    <col min="522" max="526" width="0" style="12" hidden="1" customWidth="1"/>
    <col min="527" max="768" width="5.61328125" style="12"/>
    <col min="769" max="769" width="22.765625" style="12" bestFit="1" customWidth="1"/>
    <col min="770" max="770" width="6.921875" style="12" customWidth="1"/>
    <col min="771" max="771" width="6.4609375" style="12" customWidth="1"/>
    <col min="772" max="774" width="7.3828125" style="12" customWidth="1"/>
    <col min="775" max="775" width="0" style="12" hidden="1" customWidth="1"/>
    <col min="776" max="777" width="7.3828125" style="12" customWidth="1"/>
    <col min="778" max="782" width="0" style="12" hidden="1" customWidth="1"/>
    <col min="783" max="1024" width="5.61328125" style="12"/>
    <col min="1025" max="1025" width="22.765625" style="12" bestFit="1" customWidth="1"/>
    <col min="1026" max="1026" width="6.921875" style="12" customWidth="1"/>
    <col min="1027" max="1027" width="6.4609375" style="12" customWidth="1"/>
    <col min="1028" max="1030" width="7.3828125" style="12" customWidth="1"/>
    <col min="1031" max="1031" width="0" style="12" hidden="1" customWidth="1"/>
    <col min="1032" max="1033" width="7.3828125" style="12" customWidth="1"/>
    <col min="1034" max="1038" width="0" style="12" hidden="1" customWidth="1"/>
    <col min="1039" max="1280" width="5.61328125" style="12"/>
    <col min="1281" max="1281" width="22.765625" style="12" bestFit="1" customWidth="1"/>
    <col min="1282" max="1282" width="6.921875" style="12" customWidth="1"/>
    <col min="1283" max="1283" width="6.4609375" style="12" customWidth="1"/>
    <col min="1284" max="1286" width="7.3828125" style="12" customWidth="1"/>
    <col min="1287" max="1287" width="0" style="12" hidden="1" customWidth="1"/>
    <col min="1288" max="1289" width="7.3828125" style="12" customWidth="1"/>
    <col min="1290" max="1294" width="0" style="12" hidden="1" customWidth="1"/>
    <col min="1295" max="1536" width="5.61328125" style="12"/>
    <col min="1537" max="1537" width="22.765625" style="12" bestFit="1" customWidth="1"/>
    <col min="1538" max="1538" width="6.921875" style="12" customWidth="1"/>
    <col min="1539" max="1539" width="6.4609375" style="12" customWidth="1"/>
    <col min="1540" max="1542" width="7.3828125" style="12" customWidth="1"/>
    <col min="1543" max="1543" width="0" style="12" hidden="1" customWidth="1"/>
    <col min="1544" max="1545" width="7.3828125" style="12" customWidth="1"/>
    <col min="1546" max="1550" width="0" style="12" hidden="1" customWidth="1"/>
    <col min="1551" max="1792" width="5.61328125" style="12"/>
    <col min="1793" max="1793" width="22.765625" style="12" bestFit="1" customWidth="1"/>
    <col min="1794" max="1794" width="6.921875" style="12" customWidth="1"/>
    <col min="1795" max="1795" width="6.4609375" style="12" customWidth="1"/>
    <col min="1796" max="1798" width="7.3828125" style="12" customWidth="1"/>
    <col min="1799" max="1799" width="0" style="12" hidden="1" customWidth="1"/>
    <col min="1800" max="1801" width="7.3828125" style="12" customWidth="1"/>
    <col min="1802" max="1806" width="0" style="12" hidden="1" customWidth="1"/>
    <col min="1807" max="2048" width="5.61328125" style="12"/>
    <col min="2049" max="2049" width="22.765625" style="12" bestFit="1" customWidth="1"/>
    <col min="2050" max="2050" width="6.921875" style="12" customWidth="1"/>
    <col min="2051" max="2051" width="6.4609375" style="12" customWidth="1"/>
    <col min="2052" max="2054" width="7.3828125" style="12" customWidth="1"/>
    <col min="2055" max="2055" width="0" style="12" hidden="1" customWidth="1"/>
    <col min="2056" max="2057" width="7.3828125" style="12" customWidth="1"/>
    <col min="2058" max="2062" width="0" style="12" hidden="1" customWidth="1"/>
    <col min="2063" max="2304" width="5.61328125" style="12"/>
    <col min="2305" max="2305" width="22.765625" style="12" bestFit="1" customWidth="1"/>
    <col min="2306" max="2306" width="6.921875" style="12" customWidth="1"/>
    <col min="2307" max="2307" width="6.4609375" style="12" customWidth="1"/>
    <col min="2308" max="2310" width="7.3828125" style="12" customWidth="1"/>
    <col min="2311" max="2311" width="0" style="12" hidden="1" customWidth="1"/>
    <col min="2312" max="2313" width="7.3828125" style="12" customWidth="1"/>
    <col min="2314" max="2318" width="0" style="12" hidden="1" customWidth="1"/>
    <col min="2319" max="2560" width="5.61328125" style="12"/>
    <col min="2561" max="2561" width="22.765625" style="12" bestFit="1" customWidth="1"/>
    <col min="2562" max="2562" width="6.921875" style="12" customWidth="1"/>
    <col min="2563" max="2563" width="6.4609375" style="12" customWidth="1"/>
    <col min="2564" max="2566" width="7.3828125" style="12" customWidth="1"/>
    <col min="2567" max="2567" width="0" style="12" hidden="1" customWidth="1"/>
    <col min="2568" max="2569" width="7.3828125" style="12" customWidth="1"/>
    <col min="2570" max="2574" width="0" style="12" hidden="1" customWidth="1"/>
    <col min="2575" max="2816" width="5.61328125" style="12"/>
    <col min="2817" max="2817" width="22.765625" style="12" bestFit="1" customWidth="1"/>
    <col min="2818" max="2818" width="6.921875" style="12" customWidth="1"/>
    <col min="2819" max="2819" width="6.4609375" style="12" customWidth="1"/>
    <col min="2820" max="2822" width="7.3828125" style="12" customWidth="1"/>
    <col min="2823" max="2823" width="0" style="12" hidden="1" customWidth="1"/>
    <col min="2824" max="2825" width="7.3828125" style="12" customWidth="1"/>
    <col min="2826" max="2830" width="0" style="12" hidden="1" customWidth="1"/>
    <col min="2831" max="3072" width="5.61328125" style="12"/>
    <col min="3073" max="3073" width="22.765625" style="12" bestFit="1" customWidth="1"/>
    <col min="3074" max="3074" width="6.921875" style="12" customWidth="1"/>
    <col min="3075" max="3075" width="6.4609375" style="12" customWidth="1"/>
    <col min="3076" max="3078" width="7.3828125" style="12" customWidth="1"/>
    <col min="3079" max="3079" width="0" style="12" hidden="1" customWidth="1"/>
    <col min="3080" max="3081" width="7.3828125" style="12" customWidth="1"/>
    <col min="3082" max="3086" width="0" style="12" hidden="1" customWidth="1"/>
    <col min="3087" max="3328" width="5.61328125" style="12"/>
    <col min="3329" max="3329" width="22.765625" style="12" bestFit="1" customWidth="1"/>
    <col min="3330" max="3330" width="6.921875" style="12" customWidth="1"/>
    <col min="3331" max="3331" width="6.4609375" style="12" customWidth="1"/>
    <col min="3332" max="3334" width="7.3828125" style="12" customWidth="1"/>
    <col min="3335" max="3335" width="0" style="12" hidden="1" customWidth="1"/>
    <col min="3336" max="3337" width="7.3828125" style="12" customWidth="1"/>
    <col min="3338" max="3342" width="0" style="12" hidden="1" customWidth="1"/>
    <col min="3343" max="3584" width="5.61328125" style="12"/>
    <col min="3585" max="3585" width="22.765625" style="12" bestFit="1" customWidth="1"/>
    <col min="3586" max="3586" width="6.921875" style="12" customWidth="1"/>
    <col min="3587" max="3587" width="6.4609375" style="12" customWidth="1"/>
    <col min="3588" max="3590" width="7.3828125" style="12" customWidth="1"/>
    <col min="3591" max="3591" width="0" style="12" hidden="1" customWidth="1"/>
    <col min="3592" max="3593" width="7.3828125" style="12" customWidth="1"/>
    <col min="3594" max="3598" width="0" style="12" hidden="1" customWidth="1"/>
    <col min="3599" max="3840" width="5.61328125" style="12"/>
    <col min="3841" max="3841" width="22.765625" style="12" bestFit="1" customWidth="1"/>
    <col min="3842" max="3842" width="6.921875" style="12" customWidth="1"/>
    <col min="3843" max="3843" width="6.4609375" style="12" customWidth="1"/>
    <col min="3844" max="3846" width="7.3828125" style="12" customWidth="1"/>
    <col min="3847" max="3847" width="0" style="12" hidden="1" customWidth="1"/>
    <col min="3848" max="3849" width="7.3828125" style="12" customWidth="1"/>
    <col min="3850" max="3854" width="0" style="12" hidden="1" customWidth="1"/>
    <col min="3855" max="4096" width="5.61328125" style="12"/>
    <col min="4097" max="4097" width="22.765625" style="12" bestFit="1" customWidth="1"/>
    <col min="4098" max="4098" width="6.921875" style="12" customWidth="1"/>
    <col min="4099" max="4099" width="6.4609375" style="12" customWidth="1"/>
    <col min="4100" max="4102" width="7.3828125" style="12" customWidth="1"/>
    <col min="4103" max="4103" width="0" style="12" hidden="1" customWidth="1"/>
    <col min="4104" max="4105" width="7.3828125" style="12" customWidth="1"/>
    <col min="4106" max="4110" width="0" style="12" hidden="1" customWidth="1"/>
    <col min="4111" max="4352" width="5.61328125" style="12"/>
    <col min="4353" max="4353" width="22.765625" style="12" bestFit="1" customWidth="1"/>
    <col min="4354" max="4354" width="6.921875" style="12" customWidth="1"/>
    <col min="4355" max="4355" width="6.4609375" style="12" customWidth="1"/>
    <col min="4356" max="4358" width="7.3828125" style="12" customWidth="1"/>
    <col min="4359" max="4359" width="0" style="12" hidden="1" customWidth="1"/>
    <col min="4360" max="4361" width="7.3828125" style="12" customWidth="1"/>
    <col min="4362" max="4366" width="0" style="12" hidden="1" customWidth="1"/>
    <col min="4367" max="4608" width="5.61328125" style="12"/>
    <col min="4609" max="4609" width="22.765625" style="12" bestFit="1" customWidth="1"/>
    <col min="4610" max="4610" width="6.921875" style="12" customWidth="1"/>
    <col min="4611" max="4611" width="6.4609375" style="12" customWidth="1"/>
    <col min="4612" max="4614" width="7.3828125" style="12" customWidth="1"/>
    <col min="4615" max="4615" width="0" style="12" hidden="1" customWidth="1"/>
    <col min="4616" max="4617" width="7.3828125" style="12" customWidth="1"/>
    <col min="4618" max="4622" width="0" style="12" hidden="1" customWidth="1"/>
    <col min="4623" max="4864" width="5.61328125" style="12"/>
    <col min="4865" max="4865" width="22.765625" style="12" bestFit="1" customWidth="1"/>
    <col min="4866" max="4866" width="6.921875" style="12" customWidth="1"/>
    <col min="4867" max="4867" width="6.4609375" style="12" customWidth="1"/>
    <col min="4868" max="4870" width="7.3828125" style="12" customWidth="1"/>
    <col min="4871" max="4871" width="0" style="12" hidden="1" customWidth="1"/>
    <col min="4872" max="4873" width="7.3828125" style="12" customWidth="1"/>
    <col min="4874" max="4878" width="0" style="12" hidden="1" customWidth="1"/>
    <col min="4879" max="5120" width="5.61328125" style="12"/>
    <col min="5121" max="5121" width="22.765625" style="12" bestFit="1" customWidth="1"/>
    <col min="5122" max="5122" width="6.921875" style="12" customWidth="1"/>
    <col min="5123" max="5123" width="6.4609375" style="12" customWidth="1"/>
    <col min="5124" max="5126" width="7.3828125" style="12" customWidth="1"/>
    <col min="5127" max="5127" width="0" style="12" hidden="1" customWidth="1"/>
    <col min="5128" max="5129" width="7.3828125" style="12" customWidth="1"/>
    <col min="5130" max="5134" width="0" style="12" hidden="1" customWidth="1"/>
    <col min="5135" max="5376" width="5.61328125" style="12"/>
    <col min="5377" max="5377" width="22.765625" style="12" bestFit="1" customWidth="1"/>
    <col min="5378" max="5378" width="6.921875" style="12" customWidth="1"/>
    <col min="5379" max="5379" width="6.4609375" style="12" customWidth="1"/>
    <col min="5380" max="5382" width="7.3828125" style="12" customWidth="1"/>
    <col min="5383" max="5383" width="0" style="12" hidden="1" customWidth="1"/>
    <col min="5384" max="5385" width="7.3828125" style="12" customWidth="1"/>
    <col min="5386" max="5390" width="0" style="12" hidden="1" customWidth="1"/>
    <col min="5391" max="5632" width="5.61328125" style="12"/>
    <col min="5633" max="5633" width="22.765625" style="12" bestFit="1" customWidth="1"/>
    <col min="5634" max="5634" width="6.921875" style="12" customWidth="1"/>
    <col min="5635" max="5635" width="6.4609375" style="12" customWidth="1"/>
    <col min="5636" max="5638" width="7.3828125" style="12" customWidth="1"/>
    <col min="5639" max="5639" width="0" style="12" hidden="1" customWidth="1"/>
    <col min="5640" max="5641" width="7.3828125" style="12" customWidth="1"/>
    <col min="5642" max="5646" width="0" style="12" hidden="1" customWidth="1"/>
    <col min="5647" max="5888" width="5.61328125" style="12"/>
    <col min="5889" max="5889" width="22.765625" style="12" bestFit="1" customWidth="1"/>
    <col min="5890" max="5890" width="6.921875" style="12" customWidth="1"/>
    <col min="5891" max="5891" width="6.4609375" style="12" customWidth="1"/>
    <col min="5892" max="5894" width="7.3828125" style="12" customWidth="1"/>
    <col min="5895" max="5895" width="0" style="12" hidden="1" customWidth="1"/>
    <col min="5896" max="5897" width="7.3828125" style="12" customWidth="1"/>
    <col min="5898" max="5902" width="0" style="12" hidden="1" customWidth="1"/>
    <col min="5903" max="6144" width="5.61328125" style="12"/>
    <col min="6145" max="6145" width="22.765625" style="12" bestFit="1" customWidth="1"/>
    <col min="6146" max="6146" width="6.921875" style="12" customWidth="1"/>
    <col min="6147" max="6147" width="6.4609375" style="12" customWidth="1"/>
    <col min="6148" max="6150" width="7.3828125" style="12" customWidth="1"/>
    <col min="6151" max="6151" width="0" style="12" hidden="1" customWidth="1"/>
    <col min="6152" max="6153" width="7.3828125" style="12" customWidth="1"/>
    <col min="6154" max="6158" width="0" style="12" hidden="1" customWidth="1"/>
    <col min="6159" max="6400" width="5.61328125" style="12"/>
    <col min="6401" max="6401" width="22.765625" style="12" bestFit="1" customWidth="1"/>
    <col min="6402" max="6402" width="6.921875" style="12" customWidth="1"/>
    <col min="6403" max="6403" width="6.4609375" style="12" customWidth="1"/>
    <col min="6404" max="6406" width="7.3828125" style="12" customWidth="1"/>
    <col min="6407" max="6407" width="0" style="12" hidden="1" customWidth="1"/>
    <col min="6408" max="6409" width="7.3828125" style="12" customWidth="1"/>
    <col min="6410" max="6414" width="0" style="12" hidden="1" customWidth="1"/>
    <col min="6415" max="6656" width="5.61328125" style="12"/>
    <col min="6657" max="6657" width="22.765625" style="12" bestFit="1" customWidth="1"/>
    <col min="6658" max="6658" width="6.921875" style="12" customWidth="1"/>
    <col min="6659" max="6659" width="6.4609375" style="12" customWidth="1"/>
    <col min="6660" max="6662" width="7.3828125" style="12" customWidth="1"/>
    <col min="6663" max="6663" width="0" style="12" hidden="1" customWidth="1"/>
    <col min="6664" max="6665" width="7.3828125" style="12" customWidth="1"/>
    <col min="6666" max="6670" width="0" style="12" hidden="1" customWidth="1"/>
    <col min="6671" max="6912" width="5.61328125" style="12"/>
    <col min="6913" max="6913" width="22.765625" style="12" bestFit="1" customWidth="1"/>
    <col min="6914" max="6914" width="6.921875" style="12" customWidth="1"/>
    <col min="6915" max="6915" width="6.4609375" style="12" customWidth="1"/>
    <col min="6916" max="6918" width="7.3828125" style="12" customWidth="1"/>
    <col min="6919" max="6919" width="0" style="12" hidden="1" customWidth="1"/>
    <col min="6920" max="6921" width="7.3828125" style="12" customWidth="1"/>
    <col min="6922" max="6926" width="0" style="12" hidden="1" customWidth="1"/>
    <col min="6927" max="7168" width="5.61328125" style="12"/>
    <col min="7169" max="7169" width="22.765625" style="12" bestFit="1" customWidth="1"/>
    <col min="7170" max="7170" width="6.921875" style="12" customWidth="1"/>
    <col min="7171" max="7171" width="6.4609375" style="12" customWidth="1"/>
    <col min="7172" max="7174" width="7.3828125" style="12" customWidth="1"/>
    <col min="7175" max="7175" width="0" style="12" hidden="1" customWidth="1"/>
    <col min="7176" max="7177" width="7.3828125" style="12" customWidth="1"/>
    <col min="7178" max="7182" width="0" style="12" hidden="1" customWidth="1"/>
    <col min="7183" max="7424" width="5.61328125" style="12"/>
    <col min="7425" max="7425" width="22.765625" style="12" bestFit="1" customWidth="1"/>
    <col min="7426" max="7426" width="6.921875" style="12" customWidth="1"/>
    <col min="7427" max="7427" width="6.4609375" style="12" customWidth="1"/>
    <col min="7428" max="7430" width="7.3828125" style="12" customWidth="1"/>
    <col min="7431" max="7431" width="0" style="12" hidden="1" customWidth="1"/>
    <col min="7432" max="7433" width="7.3828125" style="12" customWidth="1"/>
    <col min="7434" max="7438" width="0" style="12" hidden="1" customWidth="1"/>
    <col min="7439" max="7680" width="5.61328125" style="12"/>
    <col min="7681" max="7681" width="22.765625" style="12" bestFit="1" customWidth="1"/>
    <col min="7682" max="7682" width="6.921875" style="12" customWidth="1"/>
    <col min="7683" max="7683" width="6.4609375" style="12" customWidth="1"/>
    <col min="7684" max="7686" width="7.3828125" style="12" customWidth="1"/>
    <col min="7687" max="7687" width="0" style="12" hidden="1" customWidth="1"/>
    <col min="7688" max="7689" width="7.3828125" style="12" customWidth="1"/>
    <col min="7690" max="7694" width="0" style="12" hidden="1" customWidth="1"/>
    <col min="7695" max="7936" width="5.61328125" style="12"/>
    <col min="7937" max="7937" width="22.765625" style="12" bestFit="1" customWidth="1"/>
    <col min="7938" max="7938" width="6.921875" style="12" customWidth="1"/>
    <col min="7939" max="7939" width="6.4609375" style="12" customWidth="1"/>
    <col min="7940" max="7942" width="7.3828125" style="12" customWidth="1"/>
    <col min="7943" max="7943" width="0" style="12" hidden="1" customWidth="1"/>
    <col min="7944" max="7945" width="7.3828125" style="12" customWidth="1"/>
    <col min="7946" max="7950" width="0" style="12" hidden="1" customWidth="1"/>
    <col min="7951" max="8192" width="5.61328125" style="12"/>
    <col min="8193" max="8193" width="22.765625" style="12" bestFit="1" customWidth="1"/>
    <col min="8194" max="8194" width="6.921875" style="12" customWidth="1"/>
    <col min="8195" max="8195" width="6.4609375" style="12" customWidth="1"/>
    <col min="8196" max="8198" width="7.3828125" style="12" customWidth="1"/>
    <col min="8199" max="8199" width="0" style="12" hidden="1" customWidth="1"/>
    <col min="8200" max="8201" width="7.3828125" style="12" customWidth="1"/>
    <col min="8202" max="8206" width="0" style="12" hidden="1" customWidth="1"/>
    <col min="8207" max="8448" width="5.61328125" style="12"/>
    <col min="8449" max="8449" width="22.765625" style="12" bestFit="1" customWidth="1"/>
    <col min="8450" max="8450" width="6.921875" style="12" customWidth="1"/>
    <col min="8451" max="8451" width="6.4609375" style="12" customWidth="1"/>
    <col min="8452" max="8454" width="7.3828125" style="12" customWidth="1"/>
    <col min="8455" max="8455" width="0" style="12" hidden="1" customWidth="1"/>
    <col min="8456" max="8457" width="7.3828125" style="12" customWidth="1"/>
    <col min="8458" max="8462" width="0" style="12" hidden="1" customWidth="1"/>
    <col min="8463" max="8704" width="5.61328125" style="12"/>
    <col min="8705" max="8705" width="22.765625" style="12" bestFit="1" customWidth="1"/>
    <col min="8706" max="8706" width="6.921875" style="12" customWidth="1"/>
    <col min="8707" max="8707" width="6.4609375" style="12" customWidth="1"/>
    <col min="8708" max="8710" width="7.3828125" style="12" customWidth="1"/>
    <col min="8711" max="8711" width="0" style="12" hidden="1" customWidth="1"/>
    <col min="8712" max="8713" width="7.3828125" style="12" customWidth="1"/>
    <col min="8714" max="8718" width="0" style="12" hidden="1" customWidth="1"/>
    <col min="8719" max="8960" width="5.61328125" style="12"/>
    <col min="8961" max="8961" width="22.765625" style="12" bestFit="1" customWidth="1"/>
    <col min="8962" max="8962" width="6.921875" style="12" customWidth="1"/>
    <col min="8963" max="8963" width="6.4609375" style="12" customWidth="1"/>
    <col min="8964" max="8966" width="7.3828125" style="12" customWidth="1"/>
    <col min="8967" max="8967" width="0" style="12" hidden="1" customWidth="1"/>
    <col min="8968" max="8969" width="7.3828125" style="12" customWidth="1"/>
    <col min="8970" max="8974" width="0" style="12" hidden="1" customWidth="1"/>
    <col min="8975" max="9216" width="5.61328125" style="12"/>
    <col min="9217" max="9217" width="22.765625" style="12" bestFit="1" customWidth="1"/>
    <col min="9218" max="9218" width="6.921875" style="12" customWidth="1"/>
    <col min="9219" max="9219" width="6.4609375" style="12" customWidth="1"/>
    <col min="9220" max="9222" width="7.3828125" style="12" customWidth="1"/>
    <col min="9223" max="9223" width="0" style="12" hidden="1" customWidth="1"/>
    <col min="9224" max="9225" width="7.3828125" style="12" customWidth="1"/>
    <col min="9226" max="9230" width="0" style="12" hidden="1" customWidth="1"/>
    <col min="9231" max="9472" width="5.61328125" style="12"/>
    <col min="9473" max="9473" width="22.765625" style="12" bestFit="1" customWidth="1"/>
    <col min="9474" max="9474" width="6.921875" style="12" customWidth="1"/>
    <col min="9475" max="9475" width="6.4609375" style="12" customWidth="1"/>
    <col min="9476" max="9478" width="7.3828125" style="12" customWidth="1"/>
    <col min="9479" max="9479" width="0" style="12" hidden="1" customWidth="1"/>
    <col min="9480" max="9481" width="7.3828125" style="12" customWidth="1"/>
    <col min="9482" max="9486" width="0" style="12" hidden="1" customWidth="1"/>
    <col min="9487" max="9728" width="5.61328125" style="12"/>
    <col min="9729" max="9729" width="22.765625" style="12" bestFit="1" customWidth="1"/>
    <col min="9730" max="9730" width="6.921875" style="12" customWidth="1"/>
    <col min="9731" max="9731" width="6.4609375" style="12" customWidth="1"/>
    <col min="9732" max="9734" width="7.3828125" style="12" customWidth="1"/>
    <col min="9735" max="9735" width="0" style="12" hidden="1" customWidth="1"/>
    <col min="9736" max="9737" width="7.3828125" style="12" customWidth="1"/>
    <col min="9738" max="9742" width="0" style="12" hidden="1" customWidth="1"/>
    <col min="9743" max="9984" width="5.61328125" style="12"/>
    <col min="9985" max="9985" width="22.765625" style="12" bestFit="1" customWidth="1"/>
    <col min="9986" max="9986" width="6.921875" style="12" customWidth="1"/>
    <col min="9987" max="9987" width="6.4609375" style="12" customWidth="1"/>
    <col min="9988" max="9990" width="7.3828125" style="12" customWidth="1"/>
    <col min="9991" max="9991" width="0" style="12" hidden="1" customWidth="1"/>
    <col min="9992" max="9993" width="7.3828125" style="12" customWidth="1"/>
    <col min="9994" max="9998" width="0" style="12" hidden="1" customWidth="1"/>
    <col min="9999" max="10240" width="5.61328125" style="12"/>
    <col min="10241" max="10241" width="22.765625" style="12" bestFit="1" customWidth="1"/>
    <col min="10242" max="10242" width="6.921875" style="12" customWidth="1"/>
    <col min="10243" max="10243" width="6.4609375" style="12" customWidth="1"/>
    <col min="10244" max="10246" width="7.3828125" style="12" customWidth="1"/>
    <col min="10247" max="10247" width="0" style="12" hidden="1" customWidth="1"/>
    <col min="10248" max="10249" width="7.3828125" style="12" customWidth="1"/>
    <col min="10250" max="10254" width="0" style="12" hidden="1" customWidth="1"/>
    <col min="10255" max="10496" width="5.61328125" style="12"/>
    <col min="10497" max="10497" width="22.765625" style="12" bestFit="1" customWidth="1"/>
    <col min="10498" max="10498" width="6.921875" style="12" customWidth="1"/>
    <col min="10499" max="10499" width="6.4609375" style="12" customWidth="1"/>
    <col min="10500" max="10502" width="7.3828125" style="12" customWidth="1"/>
    <col min="10503" max="10503" width="0" style="12" hidden="1" customWidth="1"/>
    <col min="10504" max="10505" width="7.3828125" style="12" customWidth="1"/>
    <col min="10506" max="10510" width="0" style="12" hidden="1" customWidth="1"/>
    <col min="10511" max="10752" width="5.61328125" style="12"/>
    <col min="10753" max="10753" width="22.765625" style="12" bestFit="1" customWidth="1"/>
    <col min="10754" max="10754" width="6.921875" style="12" customWidth="1"/>
    <col min="10755" max="10755" width="6.4609375" style="12" customWidth="1"/>
    <col min="10756" max="10758" width="7.3828125" style="12" customWidth="1"/>
    <col min="10759" max="10759" width="0" style="12" hidden="1" customWidth="1"/>
    <col min="10760" max="10761" width="7.3828125" style="12" customWidth="1"/>
    <col min="10762" max="10766" width="0" style="12" hidden="1" customWidth="1"/>
    <col min="10767" max="11008" width="5.61328125" style="12"/>
    <col min="11009" max="11009" width="22.765625" style="12" bestFit="1" customWidth="1"/>
    <col min="11010" max="11010" width="6.921875" style="12" customWidth="1"/>
    <col min="11011" max="11011" width="6.4609375" style="12" customWidth="1"/>
    <col min="11012" max="11014" width="7.3828125" style="12" customWidth="1"/>
    <col min="11015" max="11015" width="0" style="12" hidden="1" customWidth="1"/>
    <col min="11016" max="11017" width="7.3828125" style="12" customWidth="1"/>
    <col min="11018" max="11022" width="0" style="12" hidden="1" customWidth="1"/>
    <col min="11023" max="11264" width="5.61328125" style="12"/>
    <col min="11265" max="11265" width="22.765625" style="12" bestFit="1" customWidth="1"/>
    <col min="11266" max="11266" width="6.921875" style="12" customWidth="1"/>
    <col min="11267" max="11267" width="6.4609375" style="12" customWidth="1"/>
    <col min="11268" max="11270" width="7.3828125" style="12" customWidth="1"/>
    <col min="11271" max="11271" width="0" style="12" hidden="1" customWidth="1"/>
    <col min="11272" max="11273" width="7.3828125" style="12" customWidth="1"/>
    <col min="11274" max="11278" width="0" style="12" hidden="1" customWidth="1"/>
    <col min="11279" max="11520" width="5.61328125" style="12"/>
    <col min="11521" max="11521" width="22.765625" style="12" bestFit="1" customWidth="1"/>
    <col min="11522" max="11522" width="6.921875" style="12" customWidth="1"/>
    <col min="11523" max="11523" width="6.4609375" style="12" customWidth="1"/>
    <col min="11524" max="11526" width="7.3828125" style="12" customWidth="1"/>
    <col min="11527" max="11527" width="0" style="12" hidden="1" customWidth="1"/>
    <col min="11528" max="11529" width="7.3828125" style="12" customWidth="1"/>
    <col min="11530" max="11534" width="0" style="12" hidden="1" customWidth="1"/>
    <col min="11535" max="11776" width="5.61328125" style="12"/>
    <col min="11777" max="11777" width="22.765625" style="12" bestFit="1" customWidth="1"/>
    <col min="11778" max="11778" width="6.921875" style="12" customWidth="1"/>
    <col min="11779" max="11779" width="6.4609375" style="12" customWidth="1"/>
    <col min="11780" max="11782" width="7.3828125" style="12" customWidth="1"/>
    <col min="11783" max="11783" width="0" style="12" hidden="1" customWidth="1"/>
    <col min="11784" max="11785" width="7.3828125" style="12" customWidth="1"/>
    <col min="11786" max="11790" width="0" style="12" hidden="1" customWidth="1"/>
    <col min="11791" max="12032" width="5.61328125" style="12"/>
    <col min="12033" max="12033" width="22.765625" style="12" bestFit="1" customWidth="1"/>
    <col min="12034" max="12034" width="6.921875" style="12" customWidth="1"/>
    <col min="12035" max="12035" width="6.4609375" style="12" customWidth="1"/>
    <col min="12036" max="12038" width="7.3828125" style="12" customWidth="1"/>
    <col min="12039" max="12039" width="0" style="12" hidden="1" customWidth="1"/>
    <col min="12040" max="12041" width="7.3828125" style="12" customWidth="1"/>
    <col min="12042" max="12046" width="0" style="12" hidden="1" customWidth="1"/>
    <col min="12047" max="12288" width="5.61328125" style="12"/>
    <col min="12289" max="12289" width="22.765625" style="12" bestFit="1" customWidth="1"/>
    <col min="12290" max="12290" width="6.921875" style="12" customWidth="1"/>
    <col min="12291" max="12291" width="6.4609375" style="12" customWidth="1"/>
    <col min="12292" max="12294" width="7.3828125" style="12" customWidth="1"/>
    <col min="12295" max="12295" width="0" style="12" hidden="1" customWidth="1"/>
    <col min="12296" max="12297" width="7.3828125" style="12" customWidth="1"/>
    <col min="12298" max="12302" width="0" style="12" hidden="1" customWidth="1"/>
    <col min="12303" max="12544" width="5.61328125" style="12"/>
    <col min="12545" max="12545" width="22.765625" style="12" bestFit="1" customWidth="1"/>
    <col min="12546" max="12546" width="6.921875" style="12" customWidth="1"/>
    <col min="12547" max="12547" width="6.4609375" style="12" customWidth="1"/>
    <col min="12548" max="12550" width="7.3828125" style="12" customWidth="1"/>
    <col min="12551" max="12551" width="0" style="12" hidden="1" customWidth="1"/>
    <col min="12552" max="12553" width="7.3828125" style="12" customWidth="1"/>
    <col min="12554" max="12558" width="0" style="12" hidden="1" customWidth="1"/>
    <col min="12559" max="12800" width="5.61328125" style="12"/>
    <col min="12801" max="12801" width="22.765625" style="12" bestFit="1" customWidth="1"/>
    <col min="12802" max="12802" width="6.921875" style="12" customWidth="1"/>
    <col min="12803" max="12803" width="6.4609375" style="12" customWidth="1"/>
    <col min="12804" max="12806" width="7.3828125" style="12" customWidth="1"/>
    <col min="12807" max="12807" width="0" style="12" hidden="1" customWidth="1"/>
    <col min="12808" max="12809" width="7.3828125" style="12" customWidth="1"/>
    <col min="12810" max="12814" width="0" style="12" hidden="1" customWidth="1"/>
    <col min="12815" max="13056" width="5.61328125" style="12"/>
    <col min="13057" max="13057" width="22.765625" style="12" bestFit="1" customWidth="1"/>
    <col min="13058" max="13058" width="6.921875" style="12" customWidth="1"/>
    <col min="13059" max="13059" width="6.4609375" style="12" customWidth="1"/>
    <col min="13060" max="13062" width="7.3828125" style="12" customWidth="1"/>
    <col min="13063" max="13063" width="0" style="12" hidden="1" customWidth="1"/>
    <col min="13064" max="13065" width="7.3828125" style="12" customWidth="1"/>
    <col min="13066" max="13070" width="0" style="12" hidden="1" customWidth="1"/>
    <col min="13071" max="13312" width="5.61328125" style="12"/>
    <col min="13313" max="13313" width="22.765625" style="12" bestFit="1" customWidth="1"/>
    <col min="13314" max="13314" width="6.921875" style="12" customWidth="1"/>
    <col min="13315" max="13315" width="6.4609375" style="12" customWidth="1"/>
    <col min="13316" max="13318" width="7.3828125" style="12" customWidth="1"/>
    <col min="13319" max="13319" width="0" style="12" hidden="1" customWidth="1"/>
    <col min="13320" max="13321" width="7.3828125" style="12" customWidth="1"/>
    <col min="13322" max="13326" width="0" style="12" hidden="1" customWidth="1"/>
    <col min="13327" max="13568" width="5.61328125" style="12"/>
    <col min="13569" max="13569" width="22.765625" style="12" bestFit="1" customWidth="1"/>
    <col min="13570" max="13570" width="6.921875" style="12" customWidth="1"/>
    <col min="13571" max="13571" width="6.4609375" style="12" customWidth="1"/>
    <col min="13572" max="13574" width="7.3828125" style="12" customWidth="1"/>
    <col min="13575" max="13575" width="0" style="12" hidden="1" customWidth="1"/>
    <col min="13576" max="13577" width="7.3828125" style="12" customWidth="1"/>
    <col min="13578" max="13582" width="0" style="12" hidden="1" customWidth="1"/>
    <col min="13583" max="13824" width="5.61328125" style="12"/>
    <col min="13825" max="13825" width="22.765625" style="12" bestFit="1" customWidth="1"/>
    <col min="13826" max="13826" width="6.921875" style="12" customWidth="1"/>
    <col min="13827" max="13827" width="6.4609375" style="12" customWidth="1"/>
    <col min="13828" max="13830" width="7.3828125" style="12" customWidth="1"/>
    <col min="13831" max="13831" width="0" style="12" hidden="1" customWidth="1"/>
    <col min="13832" max="13833" width="7.3828125" style="12" customWidth="1"/>
    <col min="13834" max="13838" width="0" style="12" hidden="1" customWidth="1"/>
    <col min="13839" max="14080" width="5.61328125" style="12"/>
    <col min="14081" max="14081" width="22.765625" style="12" bestFit="1" customWidth="1"/>
    <col min="14082" max="14082" width="6.921875" style="12" customWidth="1"/>
    <col min="14083" max="14083" width="6.4609375" style="12" customWidth="1"/>
    <col min="14084" max="14086" width="7.3828125" style="12" customWidth="1"/>
    <col min="14087" max="14087" width="0" style="12" hidden="1" customWidth="1"/>
    <col min="14088" max="14089" width="7.3828125" style="12" customWidth="1"/>
    <col min="14090" max="14094" width="0" style="12" hidden="1" customWidth="1"/>
    <col min="14095" max="14336" width="5.61328125" style="12"/>
    <col min="14337" max="14337" width="22.765625" style="12" bestFit="1" customWidth="1"/>
    <col min="14338" max="14338" width="6.921875" style="12" customWidth="1"/>
    <col min="14339" max="14339" width="6.4609375" style="12" customWidth="1"/>
    <col min="14340" max="14342" width="7.3828125" style="12" customWidth="1"/>
    <col min="14343" max="14343" width="0" style="12" hidden="1" customWidth="1"/>
    <col min="14344" max="14345" width="7.3828125" style="12" customWidth="1"/>
    <col min="14346" max="14350" width="0" style="12" hidden="1" customWidth="1"/>
    <col min="14351" max="14592" width="5.61328125" style="12"/>
    <col min="14593" max="14593" width="22.765625" style="12" bestFit="1" customWidth="1"/>
    <col min="14594" max="14594" width="6.921875" style="12" customWidth="1"/>
    <col min="14595" max="14595" width="6.4609375" style="12" customWidth="1"/>
    <col min="14596" max="14598" width="7.3828125" style="12" customWidth="1"/>
    <col min="14599" max="14599" width="0" style="12" hidden="1" customWidth="1"/>
    <col min="14600" max="14601" width="7.3828125" style="12" customWidth="1"/>
    <col min="14602" max="14606" width="0" style="12" hidden="1" customWidth="1"/>
    <col min="14607" max="14848" width="5.61328125" style="12"/>
    <col min="14849" max="14849" width="22.765625" style="12" bestFit="1" customWidth="1"/>
    <col min="14850" max="14850" width="6.921875" style="12" customWidth="1"/>
    <col min="14851" max="14851" width="6.4609375" style="12" customWidth="1"/>
    <col min="14852" max="14854" width="7.3828125" style="12" customWidth="1"/>
    <col min="14855" max="14855" width="0" style="12" hidden="1" customWidth="1"/>
    <col min="14856" max="14857" width="7.3828125" style="12" customWidth="1"/>
    <col min="14858" max="14862" width="0" style="12" hidden="1" customWidth="1"/>
    <col min="14863" max="15104" width="5.61328125" style="12"/>
    <col min="15105" max="15105" width="22.765625" style="12" bestFit="1" customWidth="1"/>
    <col min="15106" max="15106" width="6.921875" style="12" customWidth="1"/>
    <col min="15107" max="15107" width="6.4609375" style="12" customWidth="1"/>
    <col min="15108" max="15110" width="7.3828125" style="12" customWidth="1"/>
    <col min="15111" max="15111" width="0" style="12" hidden="1" customWidth="1"/>
    <col min="15112" max="15113" width="7.3828125" style="12" customWidth="1"/>
    <col min="15114" max="15118" width="0" style="12" hidden="1" customWidth="1"/>
    <col min="15119" max="15360" width="5.61328125" style="12"/>
    <col min="15361" max="15361" width="22.765625" style="12" bestFit="1" customWidth="1"/>
    <col min="15362" max="15362" width="6.921875" style="12" customWidth="1"/>
    <col min="15363" max="15363" width="6.4609375" style="12" customWidth="1"/>
    <col min="15364" max="15366" width="7.3828125" style="12" customWidth="1"/>
    <col min="15367" max="15367" width="0" style="12" hidden="1" customWidth="1"/>
    <col min="15368" max="15369" width="7.3828125" style="12" customWidth="1"/>
    <col min="15370" max="15374" width="0" style="12" hidden="1" customWidth="1"/>
    <col min="15375" max="15616" width="5.61328125" style="12"/>
    <col min="15617" max="15617" width="22.765625" style="12" bestFit="1" customWidth="1"/>
    <col min="15618" max="15618" width="6.921875" style="12" customWidth="1"/>
    <col min="15619" max="15619" width="6.4609375" style="12" customWidth="1"/>
    <col min="15620" max="15622" width="7.3828125" style="12" customWidth="1"/>
    <col min="15623" max="15623" width="0" style="12" hidden="1" customWidth="1"/>
    <col min="15624" max="15625" width="7.3828125" style="12" customWidth="1"/>
    <col min="15626" max="15630" width="0" style="12" hidden="1" customWidth="1"/>
    <col min="15631" max="15872" width="5.61328125" style="12"/>
    <col min="15873" max="15873" width="22.765625" style="12" bestFit="1" customWidth="1"/>
    <col min="15874" max="15874" width="6.921875" style="12" customWidth="1"/>
    <col min="15875" max="15875" width="6.4609375" style="12" customWidth="1"/>
    <col min="15876" max="15878" width="7.3828125" style="12" customWidth="1"/>
    <col min="15879" max="15879" width="0" style="12" hidden="1" customWidth="1"/>
    <col min="15880" max="15881" width="7.3828125" style="12" customWidth="1"/>
    <col min="15882" max="15886" width="0" style="12" hidden="1" customWidth="1"/>
    <col min="15887" max="16128" width="5.61328125" style="12"/>
    <col min="16129" max="16129" width="22.765625" style="12" bestFit="1" customWidth="1"/>
    <col min="16130" max="16130" width="6.921875" style="12" customWidth="1"/>
    <col min="16131" max="16131" width="6.4609375" style="12" customWidth="1"/>
    <col min="16132" max="16134" width="7.3828125" style="12" customWidth="1"/>
    <col min="16135" max="16135" width="0" style="12" hidden="1" customWidth="1"/>
    <col min="16136" max="16137" width="7.3828125" style="12" customWidth="1"/>
    <col min="16138" max="16142" width="0" style="12" hidden="1" customWidth="1"/>
    <col min="16143" max="16384" width="5.61328125" style="12"/>
  </cols>
  <sheetData>
    <row r="1" spans="1:16" s="94" customFormat="1" ht="18.600000000000001" customHeight="1">
      <c r="A1" s="275" t="s">
        <v>127</v>
      </c>
      <c r="B1" s="275"/>
      <c r="C1" s="275"/>
      <c r="D1" s="275"/>
      <c r="E1" s="275"/>
      <c r="F1" s="275"/>
      <c r="G1" s="275"/>
      <c r="H1" s="275"/>
      <c r="I1" s="275"/>
    </row>
    <row r="2" spans="1:16" s="94" customFormat="1" ht="18" customHeight="1">
      <c r="A2" s="276" t="s">
        <v>128</v>
      </c>
      <c r="B2" s="276"/>
      <c r="C2" s="276"/>
      <c r="D2" s="276"/>
      <c r="E2" s="276"/>
      <c r="F2" s="276"/>
      <c r="G2" s="276"/>
      <c r="H2" s="276"/>
      <c r="I2" s="276"/>
    </row>
    <row r="3" spans="1:16">
      <c r="A3" s="271" t="s">
        <v>2</v>
      </c>
      <c r="B3" s="273" t="s">
        <v>10</v>
      </c>
      <c r="C3" s="273" t="s">
        <v>20</v>
      </c>
      <c r="D3" s="273"/>
      <c r="E3" s="277" t="s">
        <v>129</v>
      </c>
      <c r="F3" s="277"/>
      <c r="G3" s="277"/>
      <c r="H3" s="278"/>
      <c r="I3" s="279"/>
    </row>
    <row r="4" spans="1:16" ht="55.2">
      <c r="A4" s="272"/>
      <c r="B4" s="274"/>
      <c r="C4" s="121" t="s">
        <v>130</v>
      </c>
      <c r="D4" s="122" t="s">
        <v>131</v>
      </c>
      <c r="E4" s="95" t="s">
        <v>129</v>
      </c>
      <c r="F4" s="95" t="s">
        <v>132</v>
      </c>
      <c r="G4" s="95" t="s">
        <v>133</v>
      </c>
      <c r="H4" s="95" t="s">
        <v>134</v>
      </c>
      <c r="I4" s="95" t="s">
        <v>135</v>
      </c>
    </row>
    <row r="5" spans="1:16" ht="26.4">
      <c r="A5" s="123" t="s">
        <v>136</v>
      </c>
      <c r="B5" s="124"/>
      <c r="C5" s="125"/>
      <c r="D5" s="126"/>
      <c r="E5" s="98"/>
      <c r="F5" s="98"/>
      <c r="G5" s="127"/>
      <c r="H5" s="127"/>
      <c r="I5" s="128"/>
    </row>
    <row r="6" spans="1:16" s="88" customFormat="1">
      <c r="A6" s="129" t="s">
        <v>137</v>
      </c>
      <c r="B6" s="130" t="s">
        <v>138</v>
      </c>
      <c r="C6" s="131">
        <v>240.75335767122803</v>
      </c>
      <c r="D6" s="132">
        <v>705.76920360809481</v>
      </c>
      <c r="E6" s="133">
        <v>776.34612396890441</v>
      </c>
      <c r="F6" s="133">
        <f>F7+F11+F12</f>
        <v>352.19526272285196</v>
      </c>
      <c r="G6" s="132">
        <f>E6/D6%</f>
        <v>110.00000000000001</v>
      </c>
      <c r="H6" s="134">
        <f>F6/E6*100</f>
        <v>45.365752703488567</v>
      </c>
      <c r="I6" s="135">
        <f>F6/D6%</f>
        <v>49.90232797383743</v>
      </c>
      <c r="J6" s="136">
        <f>E6-F6</f>
        <v>424.15086124605244</v>
      </c>
      <c r="K6" s="137">
        <f>E6+J6</f>
        <v>1200.4969852149568</v>
      </c>
      <c r="M6" s="137"/>
      <c r="N6" s="137">
        <f>F6-C6</f>
        <v>111.44190505162393</v>
      </c>
      <c r="P6" s="137"/>
    </row>
    <row r="7" spans="1:16">
      <c r="A7" s="138" t="s">
        <v>4</v>
      </c>
      <c r="B7" s="139" t="s">
        <v>138</v>
      </c>
      <c r="C7" s="140">
        <v>236.50228505122803</v>
      </c>
      <c r="D7" s="141">
        <v>686.85366922885191</v>
      </c>
      <c r="E7" s="142">
        <v>755.53903615173715</v>
      </c>
      <c r="F7" s="143">
        <f>SUM(F8:F10)</f>
        <v>291.08073376075197</v>
      </c>
      <c r="G7" s="96">
        <f t="shared" ref="G7:G70" si="0">E7/D7%</f>
        <v>110.00000000000001</v>
      </c>
      <c r="H7" s="134">
        <f t="shared" ref="H7:H19" si="1">F7/E7*100</f>
        <v>38.526233567406749</v>
      </c>
      <c r="I7" s="144">
        <f t="shared" ref="I7:I43" si="2">F7/D7%</f>
        <v>42.378856924147428</v>
      </c>
      <c r="J7" s="94">
        <f t="shared" ref="J7:J18" si="3">E7-F7</f>
        <v>464.45830239098518</v>
      </c>
      <c r="K7" s="145">
        <f t="shared" ref="K7:K19" si="4">E7+J7</f>
        <v>1219.9973385427224</v>
      </c>
      <c r="M7" s="145"/>
      <c r="N7" s="145">
        <f t="shared" ref="N7:N18" si="5">F7-C7</f>
        <v>54.57844870952394</v>
      </c>
      <c r="P7" s="145"/>
    </row>
    <row r="8" spans="1:16">
      <c r="A8" s="146" t="s">
        <v>139</v>
      </c>
      <c r="B8" s="139" t="s">
        <v>138</v>
      </c>
      <c r="C8" s="140">
        <v>167.34367690800002</v>
      </c>
      <c r="D8" s="141">
        <v>431.94397197999996</v>
      </c>
      <c r="E8" s="147">
        <v>475.138369178</v>
      </c>
      <c r="F8" s="148">
        <f>'[2]giá trị'!G8/10^3</f>
        <v>199.07572001999995</v>
      </c>
      <c r="G8" s="96">
        <f t="shared" si="0"/>
        <v>110.00000000000003</v>
      </c>
      <c r="H8" s="134">
        <f>F8/E8*100</f>
        <v>41.898472725830452</v>
      </c>
      <c r="I8" s="144">
        <f>F8/D8%</f>
        <v>46.08831999841351</v>
      </c>
      <c r="J8" s="94">
        <f>E8-F8</f>
        <v>276.06264915800006</v>
      </c>
      <c r="K8" s="145">
        <f t="shared" si="4"/>
        <v>751.20101833600006</v>
      </c>
      <c r="M8" s="145">
        <f>E8/D8%</f>
        <v>110.00000000000003</v>
      </c>
      <c r="N8" s="145">
        <f t="shared" si="5"/>
        <v>31.732043111999928</v>
      </c>
      <c r="P8" s="145"/>
    </row>
    <row r="9" spans="1:16">
      <c r="A9" s="146" t="s">
        <v>140</v>
      </c>
      <c r="B9" s="139" t="s">
        <v>138</v>
      </c>
      <c r="C9" s="140">
        <v>41.282718153228004</v>
      </c>
      <c r="D9" s="141">
        <v>234.81241438885201</v>
      </c>
      <c r="E9" s="149">
        <v>258.29365582773721</v>
      </c>
      <c r="F9" s="148">
        <f>'[2]giá trị'!G53/10^3</f>
        <v>80.152621240752012</v>
      </c>
      <c r="G9" s="96">
        <f t="shared" si="0"/>
        <v>110</v>
      </c>
      <c r="H9" s="134">
        <f t="shared" si="1"/>
        <v>31.031587277624773</v>
      </c>
      <c r="I9" s="144">
        <f t="shared" si="2"/>
        <v>34.13474600538725</v>
      </c>
      <c r="J9" s="94">
        <f t="shared" si="3"/>
        <v>178.1410345869852</v>
      </c>
      <c r="K9" s="145">
        <f t="shared" si="4"/>
        <v>436.43469041472241</v>
      </c>
      <c r="L9" s="12">
        <f>F9/E9*100</f>
        <v>31.031587277624773</v>
      </c>
      <c r="M9" s="145"/>
      <c r="N9" s="145">
        <f>F9-D9</f>
        <v>-154.65979314809999</v>
      </c>
    </row>
    <row r="10" spans="1:16">
      <c r="A10" s="146" t="s">
        <v>141</v>
      </c>
      <c r="B10" s="139" t="s">
        <v>138</v>
      </c>
      <c r="C10" s="140">
        <v>27.875889990000001</v>
      </c>
      <c r="D10" s="141">
        <v>20.09728286</v>
      </c>
      <c r="E10" s="149">
        <v>22.107011146000001</v>
      </c>
      <c r="F10" s="148">
        <f>'[2]giá trị'!G81/10^3</f>
        <v>11.852392499999999</v>
      </c>
      <c r="G10" s="96">
        <f t="shared" si="0"/>
        <v>110.00000000000001</v>
      </c>
      <c r="H10" s="134">
        <f t="shared" si="1"/>
        <v>53.613726531026551</v>
      </c>
      <c r="I10" s="144">
        <f t="shared" si="2"/>
        <v>58.975099184129213</v>
      </c>
      <c r="J10" s="94">
        <f t="shared" si="3"/>
        <v>10.254618646000003</v>
      </c>
      <c r="K10" s="145">
        <f t="shared" si="4"/>
        <v>32.361629792000002</v>
      </c>
      <c r="M10" s="145"/>
      <c r="N10" s="145">
        <f t="shared" si="5"/>
        <v>-16.023497490000004</v>
      </c>
    </row>
    <row r="11" spans="1:16">
      <c r="A11" s="138" t="s">
        <v>6</v>
      </c>
      <c r="B11" s="139" t="s">
        <v>138</v>
      </c>
      <c r="C11" s="150">
        <v>3.64417262</v>
      </c>
      <c r="D11" s="141">
        <v>17.800266379242856</v>
      </c>
      <c r="E11" s="149">
        <v>19.580293017167143</v>
      </c>
      <c r="F11" s="151">
        <f>'[2]giá trị'!G90/10^3</f>
        <v>53.022528962099997</v>
      </c>
      <c r="G11" s="96">
        <f t="shared" si="0"/>
        <v>110</v>
      </c>
      <c r="H11" s="134">
        <f t="shared" si="1"/>
        <v>270.79538041444101</v>
      </c>
      <c r="I11" s="144">
        <f t="shared" si="2"/>
        <v>297.87491845588511</v>
      </c>
      <c r="J11" s="94">
        <f t="shared" si="3"/>
        <v>-33.442235944932854</v>
      </c>
      <c r="K11" s="145">
        <f t="shared" si="4"/>
        <v>-13.86194292776571</v>
      </c>
      <c r="M11" s="145"/>
      <c r="N11" s="145">
        <f t="shared" si="5"/>
        <v>49.378356342099998</v>
      </c>
    </row>
    <row r="12" spans="1:16">
      <c r="A12" s="138" t="s">
        <v>5</v>
      </c>
      <c r="B12" s="139" t="s">
        <v>138</v>
      </c>
      <c r="C12" s="140">
        <v>0.6069</v>
      </c>
      <c r="D12" s="141">
        <v>1.1152679999999999</v>
      </c>
      <c r="E12" s="98">
        <v>1.2267948</v>
      </c>
      <c r="F12" s="143">
        <f>'[2]giá trị'!G101/10^3</f>
        <v>8.0920000000000005</v>
      </c>
      <c r="G12" s="96">
        <f t="shared" si="0"/>
        <v>110</v>
      </c>
      <c r="H12" s="134">
        <f t="shared" si="1"/>
        <v>659.60501299809891</v>
      </c>
      <c r="I12" s="144">
        <f t="shared" si="2"/>
        <v>725.56551429790875</v>
      </c>
      <c r="J12" s="94">
        <f t="shared" si="3"/>
        <v>-6.8652052000000001</v>
      </c>
      <c r="K12" s="145">
        <f t="shared" si="4"/>
        <v>-5.6384103999999997</v>
      </c>
      <c r="M12" s="145"/>
      <c r="N12" s="145">
        <f t="shared" si="5"/>
        <v>7.485100000000001</v>
      </c>
    </row>
    <row r="13" spans="1:16" s="88" customFormat="1">
      <c r="A13" s="129" t="s">
        <v>142</v>
      </c>
      <c r="B13" s="130" t="s">
        <v>138</v>
      </c>
      <c r="C13" s="131">
        <v>445.91861078200003</v>
      </c>
      <c r="D13" s="132">
        <v>1066.5717581871429</v>
      </c>
      <c r="E13" s="133">
        <v>1173.2289340058574</v>
      </c>
      <c r="F13" s="133">
        <f>F14+F18+F19</f>
        <v>584.21220135999977</v>
      </c>
      <c r="G13" s="132">
        <f t="shared" si="0"/>
        <v>110.00000000000003</v>
      </c>
      <c r="H13" s="134">
        <f t="shared" si="1"/>
        <v>49.795243232305339</v>
      </c>
      <c r="I13" s="135">
        <f t="shared" si="2"/>
        <v>54.774767555535888</v>
      </c>
      <c r="J13" s="136">
        <f t="shared" si="3"/>
        <v>589.01673264585759</v>
      </c>
      <c r="K13" s="137">
        <f t="shared" si="4"/>
        <v>1762.2456666517151</v>
      </c>
      <c r="M13" s="137"/>
      <c r="N13" s="137">
        <f t="shared" si="5"/>
        <v>138.29359057799974</v>
      </c>
    </row>
    <row r="14" spans="1:16">
      <c r="A14" s="138" t="s">
        <v>4</v>
      </c>
      <c r="B14" s="139" t="s">
        <v>138</v>
      </c>
      <c r="C14" s="140">
        <v>438.27659078200003</v>
      </c>
      <c r="D14" s="98">
        <v>1041.0892097300002</v>
      </c>
      <c r="E14" s="142">
        <v>1145.1981307030003</v>
      </c>
      <c r="F14" s="143">
        <f>SUM(F15:F17)</f>
        <v>520.13390535999986</v>
      </c>
      <c r="G14" s="96">
        <f t="shared" si="0"/>
        <v>110.00000000000001</v>
      </c>
      <c r="H14" s="134">
        <f t="shared" si="1"/>
        <v>45.418682707830335</v>
      </c>
      <c r="I14" s="144">
        <f t="shared" si="2"/>
        <v>49.960550978613377</v>
      </c>
      <c r="J14" s="94">
        <f t="shared" si="3"/>
        <v>625.06422534300043</v>
      </c>
      <c r="K14" s="145">
        <f t="shared" si="4"/>
        <v>1770.2623560460006</v>
      </c>
      <c r="L14" s="12">
        <f>F14/F13</f>
        <v>0.89031674475330935</v>
      </c>
      <c r="M14" s="145"/>
      <c r="N14" s="145">
        <f t="shared" si="5"/>
        <v>81.85731457799983</v>
      </c>
      <c r="P14" s="145"/>
    </row>
    <row r="15" spans="1:16">
      <c r="A15" s="146" t="s">
        <v>139</v>
      </c>
      <c r="B15" s="139" t="s">
        <v>138</v>
      </c>
      <c r="C15" s="140">
        <v>337.15290000000005</v>
      </c>
      <c r="D15" s="98">
        <v>665.43975</v>
      </c>
      <c r="E15" s="152">
        <v>731.98372500000005</v>
      </c>
      <c r="F15" s="143">
        <f>'[2]giá trị'!H8/1000</f>
        <v>395.11207999999993</v>
      </c>
      <c r="G15" s="96">
        <f t="shared" si="0"/>
        <v>110.00000000000001</v>
      </c>
      <c r="H15" s="134">
        <f t="shared" si="1"/>
        <v>53.978260240690446</v>
      </c>
      <c r="I15" s="144">
        <f t="shared" si="2"/>
        <v>59.3760862647595</v>
      </c>
      <c r="J15" s="94">
        <f t="shared" si="3"/>
        <v>336.87164500000011</v>
      </c>
      <c r="K15" s="145">
        <f t="shared" si="4"/>
        <v>1068.8553700000002</v>
      </c>
      <c r="M15" s="145"/>
      <c r="N15" s="145">
        <f t="shared" si="5"/>
        <v>57.95917999999989</v>
      </c>
    </row>
    <row r="16" spans="1:16">
      <c r="A16" s="146" t="s">
        <v>140</v>
      </c>
      <c r="B16" s="139" t="s">
        <v>138</v>
      </c>
      <c r="C16" s="140">
        <v>71.135820781999996</v>
      </c>
      <c r="D16" s="98">
        <v>349.50793373000005</v>
      </c>
      <c r="E16" s="98">
        <v>384.45872710300006</v>
      </c>
      <c r="F16" s="143">
        <f>'[2]giá trị'!H53/1000</f>
        <v>110.98898535999999</v>
      </c>
      <c r="G16" s="96">
        <f t="shared" si="0"/>
        <v>110</v>
      </c>
      <c r="H16" s="134">
        <f t="shared" si="1"/>
        <v>28.868894769623736</v>
      </c>
      <c r="I16" s="144">
        <f t="shared" si="2"/>
        <v>31.755784246586114</v>
      </c>
      <c r="J16" s="94">
        <f t="shared" si="3"/>
        <v>273.4697417430001</v>
      </c>
      <c r="K16" s="145">
        <f t="shared" si="4"/>
        <v>657.92846884600021</v>
      </c>
      <c r="M16" s="145"/>
      <c r="N16" s="145">
        <f t="shared" si="5"/>
        <v>39.853164577999991</v>
      </c>
    </row>
    <row r="17" spans="1:18">
      <c r="A17" s="146" t="s">
        <v>141</v>
      </c>
      <c r="B17" s="139" t="s">
        <v>138</v>
      </c>
      <c r="C17" s="140">
        <v>29.987870000000001</v>
      </c>
      <c r="D17" s="98">
        <v>26.141525999999999</v>
      </c>
      <c r="E17" s="98">
        <v>28.7556786</v>
      </c>
      <c r="F17" s="143">
        <f>'[2]giá trị'!H81/1000</f>
        <v>14.03284</v>
      </c>
      <c r="G17" s="96">
        <f t="shared" si="0"/>
        <v>110</v>
      </c>
      <c r="H17" s="134">
        <f t="shared" si="1"/>
        <v>48.800239407321797</v>
      </c>
      <c r="I17" s="144">
        <f t="shared" si="2"/>
        <v>53.680263348053977</v>
      </c>
      <c r="J17" s="94">
        <f t="shared" si="3"/>
        <v>14.722838599999999</v>
      </c>
      <c r="K17" s="145">
        <f t="shared" si="4"/>
        <v>43.478517199999999</v>
      </c>
      <c r="M17" s="145"/>
      <c r="N17" s="145">
        <f t="shared" si="5"/>
        <v>-15.955030000000001</v>
      </c>
    </row>
    <row r="18" spans="1:18">
      <c r="A18" s="138" t="s">
        <v>6</v>
      </c>
      <c r="B18" s="139" t="s">
        <v>138</v>
      </c>
      <c r="C18" s="140">
        <v>6.5120200000000006</v>
      </c>
      <c r="D18" s="98">
        <v>23.88930845714286</v>
      </c>
      <c r="E18" s="98">
        <v>26.278239302857148</v>
      </c>
      <c r="F18" s="143">
        <f>'[2]giá trị'!H90/1000</f>
        <v>52.518295999999999</v>
      </c>
      <c r="G18" s="96">
        <f t="shared" si="0"/>
        <v>110.00000000000001</v>
      </c>
      <c r="H18" s="134">
        <f t="shared" si="1"/>
        <v>199.8546987670131</v>
      </c>
      <c r="I18" s="144">
        <f t="shared" si="2"/>
        <v>219.84016864371443</v>
      </c>
      <c r="J18" s="94">
        <f t="shared" si="3"/>
        <v>-26.240056697142851</v>
      </c>
      <c r="K18" s="145">
        <f t="shared" si="4"/>
        <v>3.8182605714297324E-2</v>
      </c>
      <c r="L18" s="12">
        <f>F18/F13</f>
        <v>8.9895924593395279E-2</v>
      </c>
      <c r="M18" s="145"/>
      <c r="N18" s="145">
        <f t="shared" si="5"/>
        <v>46.006276</v>
      </c>
    </row>
    <row r="19" spans="1:18">
      <c r="A19" s="138" t="s">
        <v>5</v>
      </c>
      <c r="B19" s="139" t="s">
        <v>138</v>
      </c>
      <c r="C19" s="140">
        <v>1.1299999999999999</v>
      </c>
      <c r="D19" s="98">
        <v>1.59324</v>
      </c>
      <c r="E19" s="98">
        <v>1.7525640000000002</v>
      </c>
      <c r="F19" s="143">
        <f>'[2]giá trị'!H101/1000</f>
        <v>11.56</v>
      </c>
      <c r="G19" s="96">
        <f t="shared" si="0"/>
        <v>110.00000000000001</v>
      </c>
      <c r="H19" s="134">
        <f t="shared" si="1"/>
        <v>659.60501299809869</v>
      </c>
      <c r="I19" s="144">
        <f t="shared" si="2"/>
        <v>725.56551429790875</v>
      </c>
      <c r="K19" s="145">
        <f t="shared" si="4"/>
        <v>1.7525640000000002</v>
      </c>
      <c r="L19" s="12">
        <f>F19/F13*100</f>
        <v>1.9787330653295558</v>
      </c>
      <c r="M19" s="145"/>
    </row>
    <row r="20" spans="1:18">
      <c r="A20" s="123" t="s">
        <v>143</v>
      </c>
      <c r="B20" s="124"/>
      <c r="C20" s="140"/>
      <c r="D20" s="126"/>
      <c r="E20" s="98">
        <v>0</v>
      </c>
      <c r="F20" s="143"/>
      <c r="G20" s="96" t="e">
        <f t="shared" si="0"/>
        <v>#DIV/0!</v>
      </c>
      <c r="H20" s="153"/>
      <c r="I20" s="144"/>
      <c r="M20" s="145"/>
      <c r="Q20" s="94"/>
    </row>
    <row r="21" spans="1:18">
      <c r="A21" s="123" t="s">
        <v>144</v>
      </c>
      <c r="B21" s="124"/>
      <c r="C21" s="140"/>
      <c r="D21" s="126"/>
      <c r="E21" s="98">
        <v>0</v>
      </c>
      <c r="F21" s="143"/>
      <c r="G21" s="96" t="e">
        <f t="shared" si="0"/>
        <v>#DIV/0!</v>
      </c>
      <c r="H21" s="153"/>
      <c r="I21" s="144"/>
      <c r="M21" s="145"/>
    </row>
    <row r="22" spans="1:18" ht="13.8">
      <c r="A22" s="154" t="s">
        <v>145</v>
      </c>
      <c r="B22" s="155"/>
      <c r="C22" s="140"/>
      <c r="D22" s="156"/>
      <c r="E22" s="98">
        <v>0</v>
      </c>
      <c r="F22" s="143"/>
      <c r="G22" s="96" t="e">
        <f t="shared" si="0"/>
        <v>#DIV/0!</v>
      </c>
      <c r="H22" s="153"/>
      <c r="I22" s="144"/>
      <c r="M22" s="145"/>
    </row>
    <row r="23" spans="1:18">
      <c r="A23" s="123" t="s">
        <v>146</v>
      </c>
      <c r="B23" s="124" t="s">
        <v>19</v>
      </c>
      <c r="C23" s="140">
        <v>13873</v>
      </c>
      <c r="D23" s="141">
        <v>13152.83</v>
      </c>
      <c r="E23" s="98">
        <v>13106.83</v>
      </c>
      <c r="F23" s="143">
        <f>'[2]tổng cây'!C6</f>
        <v>4433.7</v>
      </c>
      <c r="G23" s="96">
        <f t="shared" si="0"/>
        <v>99.650265380150131</v>
      </c>
      <c r="H23" s="153">
        <f>F23/E23*100</f>
        <v>33.827401438791838</v>
      </c>
      <c r="I23" s="144">
        <f t="shared" si="2"/>
        <v>33.709095304964784</v>
      </c>
      <c r="J23" s="94"/>
      <c r="M23" s="145"/>
      <c r="P23" s="145"/>
    </row>
    <row r="24" spans="1:18">
      <c r="A24" s="123" t="s">
        <v>147</v>
      </c>
      <c r="B24" s="124" t="s">
        <v>148</v>
      </c>
      <c r="C24" s="140">
        <v>11053.5</v>
      </c>
      <c r="D24" s="141">
        <v>10194.5</v>
      </c>
      <c r="E24" s="98">
        <v>10118.5</v>
      </c>
      <c r="F24" s="143">
        <f>'[2]tổng cây'!C9</f>
        <v>1276</v>
      </c>
      <c r="G24" s="96">
        <f t="shared" si="0"/>
        <v>99.254499975476975</v>
      </c>
      <c r="H24" s="153">
        <f>F24/E24%</f>
        <v>12.610564807036615</v>
      </c>
      <c r="I24" s="144">
        <f t="shared" si="2"/>
        <v>12.516553043307667</v>
      </c>
      <c r="J24" s="98"/>
      <c r="M24" s="145"/>
      <c r="P24" s="145"/>
    </row>
    <row r="25" spans="1:18">
      <c r="A25" s="123" t="s">
        <v>149</v>
      </c>
      <c r="B25" s="124"/>
      <c r="C25" s="140"/>
      <c r="D25" s="141"/>
      <c r="E25" s="98"/>
      <c r="F25" s="143"/>
      <c r="G25" s="96" t="e">
        <f t="shared" si="0"/>
        <v>#DIV/0!</v>
      </c>
      <c r="H25" s="153"/>
      <c r="I25" s="144"/>
      <c r="M25" s="145"/>
      <c r="Q25" s="94"/>
    </row>
    <row r="26" spans="1:18">
      <c r="A26" s="157" t="s">
        <v>150</v>
      </c>
      <c r="B26" s="158"/>
      <c r="C26" s="140">
        <v>4362</v>
      </c>
      <c r="D26" s="141">
        <v>4555</v>
      </c>
      <c r="E26" s="98">
        <v>4555</v>
      </c>
      <c r="F26" s="143">
        <f>'[2]tổng cây'!C10+'[2]tổng cây'!C11+'[2]tổng cây'!C12</f>
        <v>1064</v>
      </c>
      <c r="G26" s="96">
        <f t="shared" si="0"/>
        <v>100</v>
      </c>
      <c r="H26" s="153">
        <f>F26/E26%</f>
        <v>23.358946212952802</v>
      </c>
      <c r="I26" s="144">
        <f t="shared" si="2"/>
        <v>23.358946212952802</v>
      </c>
      <c r="M26" s="145"/>
    </row>
    <row r="27" spans="1:18">
      <c r="A27" s="157" t="s">
        <v>151</v>
      </c>
      <c r="B27" s="158" t="s">
        <v>54</v>
      </c>
      <c r="C27" s="140">
        <v>6533</v>
      </c>
      <c r="D27" s="141">
        <v>31619.5</v>
      </c>
      <c r="E27" s="98">
        <v>31619.5</v>
      </c>
      <c r="F27" s="143">
        <f>'[2]tổng cây'!E7</f>
        <v>7580</v>
      </c>
      <c r="G27" s="96">
        <f t="shared" si="0"/>
        <v>100</v>
      </c>
      <c r="H27" s="153">
        <f>F27/E27%</f>
        <v>23.972548585524756</v>
      </c>
      <c r="I27" s="144">
        <f t="shared" si="2"/>
        <v>23.972548585524756</v>
      </c>
      <c r="K27" s="12">
        <f>F27/E27*100</f>
        <v>23.972548585524756</v>
      </c>
      <c r="M27" s="145"/>
    </row>
    <row r="28" spans="1:18" ht="13.8">
      <c r="A28" s="154" t="s">
        <v>152</v>
      </c>
      <c r="B28" s="139"/>
      <c r="C28" s="140"/>
      <c r="D28" s="141"/>
      <c r="E28" s="152"/>
      <c r="F28" s="143"/>
      <c r="G28" s="96" t="e">
        <f t="shared" si="0"/>
        <v>#DIV/0!</v>
      </c>
      <c r="H28" s="153"/>
      <c r="I28" s="144" t="e">
        <f t="shared" si="2"/>
        <v>#DIV/0!</v>
      </c>
      <c r="M28" s="145">
        <f>L28-F28</f>
        <v>0</v>
      </c>
      <c r="P28" s="145"/>
    </row>
    <row r="29" spans="1:18" ht="15.6">
      <c r="A29" s="146" t="s">
        <v>153</v>
      </c>
      <c r="B29" s="139" t="s">
        <v>148</v>
      </c>
      <c r="C29" s="140">
        <v>673</v>
      </c>
      <c r="D29" s="141">
        <v>675</v>
      </c>
      <c r="E29" s="98">
        <v>675</v>
      </c>
      <c r="F29" s="143">
        <f>'[2]tổng cây'!F10</f>
        <v>749</v>
      </c>
      <c r="G29" s="96">
        <f t="shared" si="0"/>
        <v>100</v>
      </c>
      <c r="H29" s="153">
        <f>F29/E29%</f>
        <v>110.96296296296296</v>
      </c>
      <c r="I29" s="144">
        <f t="shared" si="2"/>
        <v>110.96296296296296</v>
      </c>
      <c r="M29" s="145"/>
      <c r="P29" s="159"/>
      <c r="Q29" s="160"/>
      <c r="R29" s="159"/>
    </row>
    <row r="30" spans="1:18" ht="18">
      <c r="A30" s="146" t="s">
        <v>154</v>
      </c>
      <c r="B30" s="139" t="s">
        <v>155</v>
      </c>
      <c r="C30" s="140">
        <v>72.332838038632985</v>
      </c>
      <c r="D30" s="141">
        <v>72.614814814814821</v>
      </c>
      <c r="E30" s="98">
        <v>72.614814814814821</v>
      </c>
      <c r="F30" s="143">
        <f>'[2]tổng cây'!G10</f>
        <v>75.967957276368494</v>
      </c>
      <c r="G30" s="96">
        <f t="shared" si="0"/>
        <v>100</v>
      </c>
      <c r="H30" s="153">
        <f>F30/E30%</f>
        <v>104.61771123441544</v>
      </c>
      <c r="I30" s="144">
        <f t="shared" si="2"/>
        <v>104.61771123441544</v>
      </c>
      <c r="M30" s="145"/>
      <c r="P30" s="8"/>
    </row>
    <row r="31" spans="1:18">
      <c r="A31" s="146" t="s">
        <v>156</v>
      </c>
      <c r="B31" s="139" t="s">
        <v>54</v>
      </c>
      <c r="C31" s="140">
        <v>4868</v>
      </c>
      <c r="D31" s="141">
        <v>4901.5</v>
      </c>
      <c r="E31" s="98">
        <v>4901.5</v>
      </c>
      <c r="F31" s="143">
        <f>'[2]tổng cây'!H10</f>
        <v>5690</v>
      </c>
      <c r="G31" s="96">
        <f t="shared" si="0"/>
        <v>100</v>
      </c>
      <c r="H31" s="153">
        <f>F31/E31%</f>
        <v>116.08691216974395</v>
      </c>
      <c r="I31" s="144">
        <f t="shared" si="2"/>
        <v>116.08691216974395</v>
      </c>
      <c r="M31" s="145"/>
    </row>
    <row r="32" spans="1:18" ht="13.8">
      <c r="A32" s="154" t="s">
        <v>157</v>
      </c>
      <c r="B32" s="139"/>
      <c r="C32" s="140"/>
      <c r="D32" s="141"/>
      <c r="E32" s="98"/>
      <c r="F32" s="143"/>
      <c r="G32" s="96" t="e">
        <f t="shared" si="0"/>
        <v>#DIV/0!</v>
      </c>
      <c r="H32" s="153"/>
      <c r="I32" s="144" t="e">
        <f t="shared" si="2"/>
        <v>#DIV/0!</v>
      </c>
      <c r="M32" s="145"/>
    </row>
    <row r="33" spans="1:16">
      <c r="A33" s="146" t="s">
        <v>153</v>
      </c>
      <c r="B33" s="139" t="s">
        <v>148</v>
      </c>
      <c r="C33" s="140">
        <v>660</v>
      </c>
      <c r="D33" s="141">
        <v>727</v>
      </c>
      <c r="E33" s="98">
        <v>727</v>
      </c>
      <c r="F33" s="143">
        <f>'[2]tổng cây'!I10</f>
        <v>0</v>
      </c>
      <c r="G33" s="96">
        <f t="shared" si="0"/>
        <v>100</v>
      </c>
      <c r="H33" s="153"/>
      <c r="I33" s="144">
        <f t="shared" si="2"/>
        <v>0</v>
      </c>
      <c r="M33" s="145"/>
    </row>
    <row r="34" spans="1:16">
      <c r="A34" s="146" t="s">
        <v>154</v>
      </c>
      <c r="B34" s="139" t="s">
        <v>155</v>
      </c>
      <c r="C34" s="140">
        <v>10</v>
      </c>
      <c r="D34" s="141">
        <v>64.610729023383769</v>
      </c>
      <c r="E34" s="98">
        <v>64.610729023383769</v>
      </c>
      <c r="F34" s="143">
        <f>'[2]vụ HT'!J7</f>
        <v>0</v>
      </c>
      <c r="G34" s="96">
        <f t="shared" si="0"/>
        <v>100</v>
      </c>
      <c r="H34" s="153"/>
      <c r="I34" s="144">
        <f t="shared" si="2"/>
        <v>0</v>
      </c>
      <c r="M34" s="145"/>
    </row>
    <row r="35" spans="1:16" ht="18">
      <c r="A35" s="146" t="s">
        <v>156</v>
      </c>
      <c r="B35" s="139" t="s">
        <v>54</v>
      </c>
      <c r="C35" s="140">
        <v>0</v>
      </c>
      <c r="D35" s="141">
        <v>4697.2</v>
      </c>
      <c r="E35" s="98">
        <v>4697.2</v>
      </c>
      <c r="F35" s="143">
        <f>'[2]tổng cây'!K10</f>
        <v>0</v>
      </c>
      <c r="G35" s="96">
        <f t="shared" si="0"/>
        <v>100</v>
      </c>
      <c r="H35" s="153"/>
      <c r="I35" s="144">
        <f t="shared" si="2"/>
        <v>0</v>
      </c>
      <c r="M35" s="145"/>
      <c r="O35" s="8"/>
    </row>
    <row r="36" spans="1:16" ht="13.8">
      <c r="A36" s="154" t="s">
        <v>158</v>
      </c>
      <c r="B36" s="139"/>
      <c r="C36" s="140"/>
      <c r="D36" s="141"/>
      <c r="E36" s="98"/>
      <c r="F36" s="143"/>
      <c r="G36" s="96" t="e">
        <f t="shared" si="0"/>
        <v>#DIV/0!</v>
      </c>
      <c r="H36" s="153"/>
      <c r="I36" s="144" t="e">
        <f t="shared" si="2"/>
        <v>#DIV/0!</v>
      </c>
      <c r="M36" s="145"/>
    </row>
    <row r="37" spans="1:16">
      <c r="A37" s="146" t="s">
        <v>153</v>
      </c>
      <c r="B37" s="139" t="s">
        <v>148</v>
      </c>
      <c r="C37" s="140">
        <v>10</v>
      </c>
      <c r="D37" s="141">
        <v>5</v>
      </c>
      <c r="E37" s="98">
        <v>5</v>
      </c>
      <c r="F37" s="143">
        <f>'[2]tổng cây'!I11</f>
        <v>0</v>
      </c>
      <c r="G37" s="96">
        <f t="shared" si="0"/>
        <v>100</v>
      </c>
      <c r="H37" s="153"/>
      <c r="I37" s="144">
        <f t="shared" si="2"/>
        <v>0</v>
      </c>
      <c r="M37" s="145"/>
    </row>
    <row r="38" spans="1:16">
      <c r="A38" s="146" t="s">
        <v>154</v>
      </c>
      <c r="B38" s="139" t="s">
        <v>155</v>
      </c>
      <c r="C38" s="140">
        <v>0</v>
      </c>
      <c r="D38" s="141">
        <v>30</v>
      </c>
      <c r="E38" s="98">
        <v>30</v>
      </c>
      <c r="F38" s="143">
        <f>'[2]tổng cây'!J11</f>
        <v>0</v>
      </c>
      <c r="G38" s="96">
        <f t="shared" si="0"/>
        <v>100</v>
      </c>
      <c r="H38" s="153"/>
      <c r="I38" s="144">
        <f t="shared" si="2"/>
        <v>0</v>
      </c>
      <c r="M38" s="145"/>
    </row>
    <row r="39" spans="1:16" ht="18">
      <c r="A39" s="146" t="s">
        <v>156</v>
      </c>
      <c r="B39" s="139" t="s">
        <v>54</v>
      </c>
      <c r="C39" s="140">
        <v>0</v>
      </c>
      <c r="D39" s="141">
        <v>15</v>
      </c>
      <c r="E39" s="98">
        <v>15</v>
      </c>
      <c r="F39" s="143">
        <f>'[2]tổng cây'!K11</f>
        <v>0</v>
      </c>
      <c r="G39" s="96">
        <f t="shared" si="0"/>
        <v>100</v>
      </c>
      <c r="H39" s="153"/>
      <c r="I39" s="144">
        <f t="shared" si="2"/>
        <v>0</v>
      </c>
      <c r="M39" s="145"/>
      <c r="O39" s="8"/>
    </row>
    <row r="40" spans="1:16" ht="13.8">
      <c r="A40" s="154" t="s">
        <v>159</v>
      </c>
      <c r="B40" s="139"/>
      <c r="C40" s="140"/>
      <c r="D40" s="141"/>
      <c r="E40" s="98"/>
      <c r="F40" s="143"/>
      <c r="G40" s="96" t="e">
        <f t="shared" si="0"/>
        <v>#DIV/0!</v>
      </c>
      <c r="H40" s="153"/>
      <c r="I40" s="144" t="e">
        <f t="shared" si="2"/>
        <v>#DIV/0!</v>
      </c>
      <c r="M40" s="145"/>
    </row>
    <row r="41" spans="1:16">
      <c r="A41" s="146" t="s">
        <v>153</v>
      </c>
      <c r="B41" s="139" t="s">
        <v>148</v>
      </c>
      <c r="C41" s="140">
        <v>3019</v>
      </c>
      <c r="D41" s="141">
        <v>3148</v>
      </c>
      <c r="E41" s="98">
        <v>3148</v>
      </c>
      <c r="F41" s="143">
        <f>'[2]tổng cây'!C12</f>
        <v>315</v>
      </c>
      <c r="G41" s="96">
        <f t="shared" si="0"/>
        <v>100</v>
      </c>
      <c r="H41" s="153">
        <f>F41/E41%</f>
        <v>10.006353240152478</v>
      </c>
      <c r="I41" s="144">
        <f t="shared" si="2"/>
        <v>10.006353240152478</v>
      </c>
      <c r="M41" s="145"/>
    </row>
    <row r="42" spans="1:16">
      <c r="A42" s="146" t="s">
        <v>154</v>
      </c>
      <c r="B42" s="139" t="s">
        <v>155</v>
      </c>
      <c r="C42" s="140">
        <v>5.5150712156343156</v>
      </c>
      <c r="D42" s="141">
        <v>69.904066073697592</v>
      </c>
      <c r="E42" s="98">
        <v>69.904066073697592</v>
      </c>
      <c r="F42" s="143">
        <f>'[2]tổng cây'!D12</f>
        <v>60</v>
      </c>
      <c r="G42" s="96">
        <f t="shared" si="0"/>
        <v>100</v>
      </c>
      <c r="H42" s="153">
        <f>F42/E42%</f>
        <v>85.831917040053071</v>
      </c>
      <c r="I42" s="144">
        <f t="shared" si="2"/>
        <v>85.831917040053071</v>
      </c>
      <c r="M42" s="145"/>
    </row>
    <row r="43" spans="1:16" ht="18">
      <c r="A43" s="146" t="s">
        <v>156</v>
      </c>
      <c r="B43" s="139" t="s">
        <v>54</v>
      </c>
      <c r="C43" s="140">
        <v>1665</v>
      </c>
      <c r="D43" s="141">
        <v>22005.8</v>
      </c>
      <c r="E43" s="152">
        <v>22005.8</v>
      </c>
      <c r="F43" s="143">
        <f>'[2]tổng cây'!E12</f>
        <v>1890</v>
      </c>
      <c r="G43" s="96">
        <f t="shared" si="0"/>
        <v>100</v>
      </c>
      <c r="H43" s="153">
        <f>F43/E43%</f>
        <v>8.5886448118223377</v>
      </c>
      <c r="I43" s="144">
        <f t="shared" si="2"/>
        <v>8.5886448118223377</v>
      </c>
      <c r="M43" s="145"/>
      <c r="O43" s="8"/>
    </row>
    <row r="44" spans="1:16">
      <c r="A44" s="123" t="s">
        <v>160</v>
      </c>
      <c r="B44" s="124" t="s">
        <v>19</v>
      </c>
      <c r="C44" s="161"/>
      <c r="D44" s="162">
        <v>4833</v>
      </c>
      <c r="E44" s="98">
        <v>4770</v>
      </c>
      <c r="F44" s="163">
        <f>F46+F50</f>
        <v>85</v>
      </c>
      <c r="G44" s="96">
        <f t="shared" si="0"/>
        <v>98.696461824953445</v>
      </c>
      <c r="H44" s="153"/>
      <c r="I44" s="144"/>
      <c r="M44" s="145"/>
    </row>
    <row r="45" spans="1:16" ht="13.8">
      <c r="A45" s="154" t="s">
        <v>161</v>
      </c>
      <c r="B45" s="139" t="s">
        <v>19</v>
      </c>
      <c r="C45" s="140"/>
      <c r="D45" s="141"/>
      <c r="E45" s="98"/>
      <c r="F45" s="143"/>
      <c r="G45" s="96" t="e">
        <f t="shared" si="0"/>
        <v>#DIV/0!</v>
      </c>
      <c r="H45" s="153"/>
      <c r="I45" s="144"/>
      <c r="M45" s="145"/>
    </row>
    <row r="46" spans="1:16" ht="18">
      <c r="A46" s="146" t="s">
        <v>153</v>
      </c>
      <c r="B46" s="139" t="s">
        <v>148</v>
      </c>
      <c r="C46" s="140">
        <v>0</v>
      </c>
      <c r="D46" s="141">
        <v>0</v>
      </c>
      <c r="E46" s="98">
        <v>0</v>
      </c>
      <c r="F46" s="143">
        <f>'[2]tổng cây'!C19</f>
        <v>0</v>
      </c>
      <c r="G46" s="96" t="e">
        <f t="shared" si="0"/>
        <v>#DIV/0!</v>
      </c>
      <c r="H46" s="153"/>
      <c r="I46" s="144"/>
      <c r="M46" s="145"/>
      <c r="P46" s="164"/>
    </row>
    <row r="47" spans="1:16">
      <c r="A47" s="146" t="s">
        <v>154</v>
      </c>
      <c r="B47" s="139" t="s">
        <v>155</v>
      </c>
      <c r="C47" s="140" t="e">
        <v>#DIV/0!</v>
      </c>
      <c r="D47" s="141" t="e">
        <v>#DIV/0!</v>
      </c>
      <c r="E47" s="98" t="e">
        <v>#DIV/0!</v>
      </c>
      <c r="F47" s="143" t="e">
        <f>'[2]tổng cây'!D19</f>
        <v>#DIV/0!</v>
      </c>
      <c r="G47" s="96" t="e">
        <f t="shared" si="0"/>
        <v>#DIV/0!</v>
      </c>
      <c r="H47" s="153"/>
      <c r="I47" s="144"/>
      <c r="M47" s="145"/>
    </row>
    <row r="48" spans="1:16">
      <c r="A48" s="146" t="s">
        <v>156</v>
      </c>
      <c r="B48" s="139" t="s">
        <v>54</v>
      </c>
      <c r="C48" s="140">
        <v>0</v>
      </c>
      <c r="D48" s="141">
        <v>0</v>
      </c>
      <c r="E48" s="98">
        <v>0</v>
      </c>
      <c r="F48" s="143">
        <f>'[2]tổng cây'!E19</f>
        <v>0</v>
      </c>
      <c r="G48" s="96" t="e">
        <f t="shared" si="0"/>
        <v>#DIV/0!</v>
      </c>
      <c r="H48" s="153"/>
      <c r="I48" s="144"/>
      <c r="M48" s="145"/>
    </row>
    <row r="49" spans="1:13" ht="13.8">
      <c r="A49" s="154" t="s">
        <v>162</v>
      </c>
      <c r="B49" s="139"/>
      <c r="C49" s="140"/>
      <c r="D49" s="141"/>
      <c r="E49" s="98"/>
      <c r="F49" s="143"/>
      <c r="G49" s="96" t="e">
        <f t="shared" si="0"/>
        <v>#DIV/0!</v>
      </c>
      <c r="H49" s="153"/>
      <c r="I49" s="144"/>
      <c r="M49" s="145"/>
    </row>
    <row r="50" spans="1:13">
      <c r="A50" s="146" t="s">
        <v>153</v>
      </c>
      <c r="B50" s="139" t="s">
        <v>148</v>
      </c>
      <c r="C50" s="140">
        <v>6178</v>
      </c>
      <c r="D50" s="98">
        <v>4833</v>
      </c>
      <c r="E50" s="98">
        <v>4770</v>
      </c>
      <c r="F50" s="143">
        <f>'[2]tổng cây'!C20</f>
        <v>85</v>
      </c>
      <c r="G50" s="96">
        <f t="shared" si="0"/>
        <v>98.696461824953445</v>
      </c>
      <c r="H50" s="153"/>
      <c r="I50" s="144"/>
      <c r="M50" s="145"/>
    </row>
    <row r="51" spans="1:13">
      <c r="A51" s="146" t="s">
        <v>154</v>
      </c>
      <c r="B51" s="139" t="s">
        <v>155</v>
      </c>
      <c r="C51" s="140">
        <v>3.658141793460667</v>
      </c>
      <c r="D51" s="98">
        <v>207.37843989240636</v>
      </c>
      <c r="E51" s="98">
        <v>208.53249475890985</v>
      </c>
      <c r="F51" s="143">
        <f>'[2]tổng cây'!D20</f>
        <v>273.88235294117646</v>
      </c>
      <c r="G51" s="96">
        <f t="shared" si="0"/>
        <v>100.55649703368502</v>
      </c>
      <c r="H51" s="153"/>
      <c r="I51" s="144"/>
      <c r="M51" s="145"/>
    </row>
    <row r="52" spans="1:13">
      <c r="A52" s="146" t="s">
        <v>156</v>
      </c>
      <c r="B52" s="139" t="s">
        <v>54</v>
      </c>
      <c r="C52" s="140">
        <v>2260</v>
      </c>
      <c r="D52" s="98">
        <v>100226</v>
      </c>
      <c r="E52" s="98">
        <v>99470</v>
      </c>
      <c r="F52" s="143">
        <f>'[2]tổng cây'!E20</f>
        <v>2328</v>
      </c>
      <c r="G52" s="96">
        <f t="shared" si="0"/>
        <v>99.245704707361369</v>
      </c>
      <c r="H52" s="153"/>
      <c r="I52" s="144"/>
      <c r="M52" s="145"/>
    </row>
    <row r="53" spans="1:13">
      <c r="A53" s="123" t="s">
        <v>163</v>
      </c>
      <c r="B53" s="124" t="s">
        <v>19</v>
      </c>
      <c r="C53" s="140"/>
      <c r="D53" s="165">
        <v>455</v>
      </c>
      <c r="E53" s="96">
        <v>455</v>
      </c>
      <c r="F53" s="163">
        <f>F55+F59+F63</f>
        <v>7</v>
      </c>
      <c r="G53" s="96">
        <f t="shared" si="0"/>
        <v>100</v>
      </c>
      <c r="H53" s="153"/>
      <c r="I53" s="144"/>
      <c r="M53" s="145"/>
    </row>
    <row r="54" spans="1:13" ht="13.8">
      <c r="A54" s="154" t="s">
        <v>164</v>
      </c>
      <c r="B54" s="139"/>
      <c r="C54" s="140"/>
      <c r="D54" s="98"/>
      <c r="E54" s="98"/>
      <c r="F54" s="143"/>
      <c r="G54" s="96" t="e">
        <f t="shared" si="0"/>
        <v>#DIV/0!</v>
      </c>
      <c r="H54" s="153"/>
      <c r="I54" s="144"/>
      <c r="M54" s="145"/>
    </row>
    <row r="55" spans="1:13">
      <c r="A55" s="146" t="s">
        <v>153</v>
      </c>
      <c r="B55" s="139" t="s">
        <v>148</v>
      </c>
      <c r="C55" s="140">
        <v>50</v>
      </c>
      <c r="D55" s="98">
        <v>67</v>
      </c>
      <c r="E55" s="98">
        <v>67</v>
      </c>
      <c r="F55" s="143">
        <f>'[2]tổng cây'!C13</f>
        <v>0</v>
      </c>
      <c r="G55" s="96">
        <f t="shared" si="0"/>
        <v>100</v>
      </c>
      <c r="H55" s="153"/>
      <c r="I55" s="144"/>
      <c r="M55" s="145"/>
    </row>
    <row r="56" spans="1:13">
      <c r="A56" s="146" t="s">
        <v>154</v>
      </c>
      <c r="B56" s="139" t="s">
        <v>155</v>
      </c>
      <c r="C56" s="140">
        <v>0</v>
      </c>
      <c r="D56" s="98">
        <v>8</v>
      </c>
      <c r="E56" s="98">
        <v>8</v>
      </c>
      <c r="F56" s="143" t="e">
        <f>'[2]tổng cây'!D13</f>
        <v>#DIV/0!</v>
      </c>
      <c r="G56" s="96">
        <f t="shared" si="0"/>
        <v>100</v>
      </c>
      <c r="H56" s="153"/>
      <c r="I56" s="144"/>
      <c r="M56" s="145"/>
    </row>
    <row r="57" spans="1:13">
      <c r="A57" s="146" t="s">
        <v>156</v>
      </c>
      <c r="B57" s="139" t="s">
        <v>54</v>
      </c>
      <c r="C57" s="140">
        <v>0</v>
      </c>
      <c r="D57" s="98">
        <v>53.6</v>
      </c>
      <c r="E57" s="98">
        <v>53.6</v>
      </c>
      <c r="F57" s="143">
        <f>'[2]tổng cây'!E13</f>
        <v>0</v>
      </c>
      <c r="G57" s="96">
        <f t="shared" si="0"/>
        <v>100</v>
      </c>
      <c r="H57" s="153"/>
      <c r="I57" s="144"/>
      <c r="M57" s="145"/>
    </row>
    <row r="58" spans="1:13" ht="13.8">
      <c r="A58" s="154" t="s">
        <v>165</v>
      </c>
      <c r="B58" s="139"/>
      <c r="C58" s="140"/>
      <c r="D58" s="98"/>
      <c r="E58" s="98"/>
      <c r="F58" s="143"/>
      <c r="G58" s="96" t="e">
        <f t="shared" si="0"/>
        <v>#DIV/0!</v>
      </c>
      <c r="H58" s="153"/>
      <c r="I58" s="144"/>
      <c r="M58" s="145"/>
    </row>
    <row r="59" spans="1:13">
      <c r="A59" s="146" t="s">
        <v>153</v>
      </c>
      <c r="B59" s="139" t="s">
        <v>148</v>
      </c>
      <c r="C59" s="140">
        <v>340</v>
      </c>
      <c r="D59" s="98">
        <v>369</v>
      </c>
      <c r="E59" s="98">
        <v>369</v>
      </c>
      <c r="F59" s="143">
        <f>'[2]tổng cây'!C15</f>
        <v>0</v>
      </c>
      <c r="G59" s="96">
        <f t="shared" si="0"/>
        <v>100</v>
      </c>
      <c r="H59" s="153"/>
      <c r="I59" s="144"/>
      <c r="M59" s="145"/>
    </row>
    <row r="60" spans="1:13">
      <c r="A60" s="146" t="s">
        <v>154</v>
      </c>
      <c r="B60" s="139" t="s">
        <v>155</v>
      </c>
      <c r="C60" s="140">
        <v>2.6470588235294117</v>
      </c>
      <c r="D60" s="98">
        <v>9</v>
      </c>
      <c r="E60" s="98">
        <v>9</v>
      </c>
      <c r="F60" s="143" t="e">
        <f>'[2]tổng cây'!D15</f>
        <v>#DIV/0!</v>
      </c>
      <c r="G60" s="96">
        <f t="shared" si="0"/>
        <v>100</v>
      </c>
      <c r="H60" s="153"/>
      <c r="I60" s="144"/>
      <c r="M60" s="145"/>
    </row>
    <row r="61" spans="1:13">
      <c r="A61" s="146" t="s">
        <v>156</v>
      </c>
      <c r="B61" s="139" t="s">
        <v>54</v>
      </c>
      <c r="C61" s="140">
        <v>90</v>
      </c>
      <c r="D61" s="98">
        <v>332.1</v>
      </c>
      <c r="E61" s="98">
        <v>332.1</v>
      </c>
      <c r="F61" s="143">
        <f>'[2]tổng cây'!E15</f>
        <v>0</v>
      </c>
      <c r="G61" s="96">
        <f t="shared" si="0"/>
        <v>100</v>
      </c>
      <c r="H61" s="153"/>
      <c r="I61" s="144"/>
      <c r="M61" s="145"/>
    </row>
    <row r="62" spans="1:13" ht="13.8">
      <c r="A62" s="154" t="s">
        <v>166</v>
      </c>
      <c r="B62" s="166"/>
      <c r="C62" s="140"/>
      <c r="D62" s="98"/>
      <c r="E62" s="98"/>
      <c r="F62" s="143"/>
      <c r="G62" s="96" t="e">
        <f t="shared" si="0"/>
        <v>#DIV/0!</v>
      </c>
      <c r="H62" s="153"/>
      <c r="I62" s="144"/>
      <c r="M62" s="145"/>
    </row>
    <row r="63" spans="1:13">
      <c r="A63" s="146" t="s">
        <v>153</v>
      </c>
      <c r="B63" s="139" t="s">
        <v>148</v>
      </c>
      <c r="C63" s="140">
        <v>14</v>
      </c>
      <c r="D63" s="98">
        <v>19</v>
      </c>
      <c r="E63" s="98">
        <v>19</v>
      </c>
      <c r="F63" s="143">
        <f>'[2]tổng cây'!C18</f>
        <v>7</v>
      </c>
      <c r="G63" s="96">
        <f t="shared" si="0"/>
        <v>100</v>
      </c>
      <c r="H63" s="153">
        <f>F63/E63%</f>
        <v>36.842105263157897</v>
      </c>
      <c r="I63" s="144">
        <f>G63/D63%</f>
        <v>526.31578947368416</v>
      </c>
      <c r="M63" s="145"/>
    </row>
    <row r="64" spans="1:13">
      <c r="A64" s="146" t="s">
        <v>154</v>
      </c>
      <c r="B64" s="139" t="s">
        <v>167</v>
      </c>
      <c r="C64" s="140">
        <v>227.14285714285714</v>
      </c>
      <c r="D64" s="98">
        <v>88.94736842105263</v>
      </c>
      <c r="E64" s="98">
        <v>88.94736842105263</v>
      </c>
      <c r="F64" s="143">
        <f>'[2]tổng cây'!D18</f>
        <v>0</v>
      </c>
      <c r="G64" s="96">
        <f t="shared" si="0"/>
        <v>100</v>
      </c>
      <c r="H64" s="153">
        <f>F64/E64%</f>
        <v>0</v>
      </c>
      <c r="I64" s="144">
        <f>G64/D64%</f>
        <v>112.42603550295858</v>
      </c>
      <c r="M64" s="145"/>
    </row>
    <row r="65" spans="1:13">
      <c r="A65" s="146" t="s">
        <v>156</v>
      </c>
      <c r="B65" s="139" t="s">
        <v>54</v>
      </c>
      <c r="C65" s="140">
        <v>318</v>
      </c>
      <c r="D65" s="98">
        <v>169</v>
      </c>
      <c r="E65" s="98">
        <v>169</v>
      </c>
      <c r="F65" s="143">
        <f>'[2]tổng cây'!E18</f>
        <v>0</v>
      </c>
      <c r="G65" s="96">
        <f t="shared" si="0"/>
        <v>100</v>
      </c>
      <c r="H65" s="153">
        <f>F65/E65%</f>
        <v>0</v>
      </c>
      <c r="I65" s="144">
        <f>G65/D65%</f>
        <v>59.171597633136095</v>
      </c>
      <c r="M65" s="145"/>
    </row>
    <row r="66" spans="1:13">
      <c r="A66" s="123" t="s">
        <v>168</v>
      </c>
      <c r="B66" s="124" t="s">
        <v>19</v>
      </c>
      <c r="C66" s="167"/>
      <c r="D66" s="165">
        <v>136</v>
      </c>
      <c r="E66" s="165">
        <v>123</v>
      </c>
      <c r="F66" s="168">
        <f>F68+F76+F80</f>
        <v>50</v>
      </c>
      <c r="G66" s="96">
        <f t="shared" si="0"/>
        <v>90.441176470588232</v>
      </c>
      <c r="H66" s="153"/>
      <c r="I66" s="144"/>
      <c r="M66" s="145"/>
    </row>
    <row r="67" spans="1:13" ht="13.8">
      <c r="A67" s="154" t="s">
        <v>169</v>
      </c>
      <c r="B67" s="139"/>
      <c r="C67" s="140"/>
      <c r="D67" s="98"/>
      <c r="E67" s="98"/>
      <c r="F67" s="143"/>
      <c r="G67" s="96" t="e">
        <f t="shared" si="0"/>
        <v>#DIV/0!</v>
      </c>
      <c r="H67" s="153"/>
      <c r="I67" s="144"/>
      <c r="M67" s="145"/>
    </row>
    <row r="68" spans="1:13">
      <c r="A68" s="146" t="s">
        <v>153</v>
      </c>
      <c r="B68" s="139" t="s">
        <v>148</v>
      </c>
      <c r="C68" s="140">
        <v>35</v>
      </c>
      <c r="D68" s="98">
        <v>35</v>
      </c>
      <c r="E68" s="98">
        <v>35</v>
      </c>
      <c r="F68" s="143">
        <f>'[2]tổng cây'!C14</f>
        <v>0</v>
      </c>
      <c r="G68" s="96">
        <f t="shared" si="0"/>
        <v>100</v>
      </c>
      <c r="H68" s="153"/>
      <c r="I68" s="144"/>
      <c r="M68" s="145"/>
    </row>
    <row r="69" spans="1:13">
      <c r="A69" s="146" t="s">
        <v>154</v>
      </c>
      <c r="B69" s="139" t="s">
        <v>155</v>
      </c>
      <c r="C69" s="140">
        <v>26</v>
      </c>
      <c r="D69" s="98">
        <v>30</v>
      </c>
      <c r="E69" s="98">
        <v>30</v>
      </c>
      <c r="F69" s="143" t="e">
        <f>'[2]tổng cây'!D14</f>
        <v>#DIV/0!</v>
      </c>
      <c r="G69" s="96">
        <f t="shared" si="0"/>
        <v>100</v>
      </c>
      <c r="H69" s="153"/>
      <c r="I69" s="144"/>
      <c r="M69" s="145"/>
    </row>
    <row r="70" spans="1:13">
      <c r="A70" s="146" t="s">
        <v>156</v>
      </c>
      <c r="B70" s="139" t="s">
        <v>54</v>
      </c>
      <c r="C70" s="140">
        <v>0</v>
      </c>
      <c r="D70" s="98">
        <v>105</v>
      </c>
      <c r="E70" s="98">
        <v>105</v>
      </c>
      <c r="F70" s="143">
        <f>'[2]tổng cây'!E14</f>
        <v>0</v>
      </c>
      <c r="G70" s="96">
        <f t="shared" si="0"/>
        <v>100</v>
      </c>
      <c r="H70" s="153"/>
      <c r="I70" s="144"/>
      <c r="M70" s="145"/>
    </row>
    <row r="71" spans="1:13" ht="13.8">
      <c r="A71" s="154" t="s">
        <v>170</v>
      </c>
      <c r="B71" s="139"/>
      <c r="C71" s="140"/>
      <c r="D71" s="98"/>
      <c r="E71" s="98"/>
      <c r="F71" s="143"/>
      <c r="G71" s="96" t="e">
        <f t="shared" ref="G71:H134" si="6">E71/D71%</f>
        <v>#DIV/0!</v>
      </c>
      <c r="H71" s="153"/>
      <c r="I71" s="144"/>
      <c r="M71" s="145"/>
    </row>
    <row r="72" spans="1:13">
      <c r="A72" s="146" t="s">
        <v>153</v>
      </c>
      <c r="B72" s="139" t="s">
        <v>148</v>
      </c>
      <c r="C72" s="140"/>
      <c r="D72" s="98"/>
      <c r="E72" s="98"/>
      <c r="F72" s="143"/>
      <c r="G72" s="96" t="e">
        <f t="shared" si="6"/>
        <v>#DIV/0!</v>
      </c>
      <c r="H72" s="153"/>
      <c r="I72" s="144"/>
      <c r="M72" s="145"/>
    </row>
    <row r="73" spans="1:13">
      <c r="A73" s="146" t="s">
        <v>154</v>
      </c>
      <c r="B73" s="139" t="s">
        <v>155</v>
      </c>
      <c r="C73" s="140"/>
      <c r="D73" s="98"/>
      <c r="E73" s="98"/>
      <c r="F73" s="143"/>
      <c r="G73" s="96" t="e">
        <f t="shared" si="6"/>
        <v>#DIV/0!</v>
      </c>
      <c r="H73" s="153"/>
      <c r="I73" s="144"/>
      <c r="M73" s="145"/>
    </row>
    <row r="74" spans="1:13">
      <c r="A74" s="146" t="s">
        <v>156</v>
      </c>
      <c r="B74" s="139" t="s">
        <v>54</v>
      </c>
      <c r="C74" s="140"/>
      <c r="D74" s="98"/>
      <c r="E74" s="98"/>
      <c r="F74" s="143"/>
      <c r="G74" s="96" t="e">
        <f t="shared" si="6"/>
        <v>#DIV/0!</v>
      </c>
      <c r="H74" s="153"/>
      <c r="I74" s="144"/>
      <c r="M74" s="145"/>
    </row>
    <row r="75" spans="1:13" ht="13.8">
      <c r="A75" s="154" t="s">
        <v>171</v>
      </c>
      <c r="B75" s="139"/>
      <c r="C75" s="140"/>
      <c r="D75" s="98"/>
      <c r="E75" s="98"/>
      <c r="F75" s="143"/>
      <c r="G75" s="96" t="e">
        <f t="shared" si="6"/>
        <v>#DIV/0!</v>
      </c>
      <c r="H75" s="153"/>
      <c r="I75" s="144"/>
      <c r="M75" s="145"/>
    </row>
    <row r="76" spans="1:13">
      <c r="A76" s="146" t="s">
        <v>153</v>
      </c>
      <c r="B76" s="139" t="s">
        <v>148</v>
      </c>
      <c r="C76" s="140">
        <v>0</v>
      </c>
      <c r="D76" s="98">
        <v>49</v>
      </c>
      <c r="E76" s="98">
        <v>36</v>
      </c>
      <c r="F76" s="143">
        <f>'[2]tổng cây'!C21</f>
        <v>10</v>
      </c>
      <c r="G76" s="96">
        <f t="shared" si="6"/>
        <v>73.469387755102048</v>
      </c>
      <c r="H76" s="153"/>
      <c r="I76" s="144"/>
      <c r="M76" s="145"/>
    </row>
    <row r="77" spans="1:13">
      <c r="A77" s="146" t="s">
        <v>154</v>
      </c>
      <c r="B77" s="139" t="s">
        <v>155</v>
      </c>
      <c r="C77" s="140" t="e">
        <v>#DIV/0!</v>
      </c>
      <c r="D77" s="98">
        <v>499.59183673469386</v>
      </c>
      <c r="E77" s="98">
        <v>680</v>
      </c>
      <c r="F77" s="143">
        <f>'[2]tổng cây'!D21</f>
        <v>0</v>
      </c>
      <c r="G77" s="96">
        <f t="shared" si="6"/>
        <v>136.11111111111111</v>
      </c>
      <c r="H77" s="153"/>
      <c r="I77" s="144"/>
      <c r="M77" s="145"/>
    </row>
    <row r="78" spans="1:13">
      <c r="A78" s="146" t="s">
        <v>156</v>
      </c>
      <c r="B78" s="139" t="s">
        <v>54</v>
      </c>
      <c r="C78" s="140">
        <v>0</v>
      </c>
      <c r="D78" s="98">
        <v>2448</v>
      </c>
      <c r="E78" s="98">
        <v>2448</v>
      </c>
      <c r="F78" s="143">
        <f>'[2]tổng cây'!E21</f>
        <v>0</v>
      </c>
      <c r="G78" s="96">
        <f t="shared" si="6"/>
        <v>100</v>
      </c>
      <c r="H78" s="153"/>
      <c r="I78" s="144"/>
      <c r="M78" s="145"/>
    </row>
    <row r="79" spans="1:13" ht="13.8">
      <c r="A79" s="154" t="s">
        <v>172</v>
      </c>
      <c r="B79" s="139"/>
      <c r="C79" s="140"/>
      <c r="D79" s="98"/>
      <c r="E79" s="98"/>
      <c r="F79" s="143"/>
      <c r="G79" s="96" t="e">
        <f t="shared" si="6"/>
        <v>#DIV/0!</v>
      </c>
      <c r="H79" s="153"/>
      <c r="I79" s="144"/>
      <c r="M79" s="145"/>
    </row>
    <row r="80" spans="1:13">
      <c r="A80" s="146" t="s">
        <v>153</v>
      </c>
      <c r="B80" s="139" t="s">
        <v>148</v>
      </c>
      <c r="C80" s="140">
        <v>71.5</v>
      </c>
      <c r="D80" s="98">
        <v>52</v>
      </c>
      <c r="E80" s="98">
        <v>52</v>
      </c>
      <c r="F80" s="143">
        <f>'[2]tổng cây'!C17</f>
        <v>40</v>
      </c>
      <c r="G80" s="96">
        <f t="shared" si="6"/>
        <v>100</v>
      </c>
      <c r="H80" s="153">
        <f t="shared" si="6"/>
        <v>76.92307692307692</v>
      </c>
      <c r="I80" s="144">
        <f t="shared" ref="I80:I131" si="7">G80/D80%</f>
        <v>192.30769230769229</v>
      </c>
      <c r="M80" s="145"/>
    </row>
    <row r="81" spans="1:16">
      <c r="A81" s="146" t="s">
        <v>154</v>
      </c>
      <c r="B81" s="139" t="s">
        <v>155</v>
      </c>
      <c r="C81" s="140">
        <v>26.853146853146853</v>
      </c>
      <c r="D81" s="98">
        <v>32</v>
      </c>
      <c r="E81" s="98">
        <v>32</v>
      </c>
      <c r="F81" s="143">
        <f>'[2]tổng cây'!D17</f>
        <v>54</v>
      </c>
      <c r="G81" s="96">
        <f t="shared" si="6"/>
        <v>100</v>
      </c>
      <c r="H81" s="153">
        <f t="shared" si="6"/>
        <v>168.75</v>
      </c>
      <c r="I81" s="144">
        <f t="shared" si="7"/>
        <v>312.5</v>
      </c>
      <c r="M81" s="145"/>
    </row>
    <row r="82" spans="1:16">
      <c r="A82" s="146" t="s">
        <v>156</v>
      </c>
      <c r="B82" s="139" t="s">
        <v>54</v>
      </c>
      <c r="C82" s="140">
        <v>192</v>
      </c>
      <c r="D82" s="98">
        <v>166.4</v>
      </c>
      <c r="E82" s="98">
        <v>166.4</v>
      </c>
      <c r="F82" s="143">
        <f>'[2]tổng cây'!E17</f>
        <v>216</v>
      </c>
      <c r="G82" s="96">
        <f t="shared" si="6"/>
        <v>100</v>
      </c>
      <c r="H82" s="153">
        <f t="shared" si="6"/>
        <v>129.80769230769229</v>
      </c>
      <c r="I82" s="144">
        <f t="shared" si="7"/>
        <v>60.09615384615384</v>
      </c>
      <c r="M82" s="145"/>
    </row>
    <row r="83" spans="1:16" ht="13.8">
      <c r="A83" s="169" t="s">
        <v>173</v>
      </c>
      <c r="B83" s="139" t="s">
        <v>19</v>
      </c>
      <c r="C83" s="140"/>
      <c r="D83" s="98">
        <v>120</v>
      </c>
      <c r="E83" s="98">
        <v>120</v>
      </c>
      <c r="F83" s="143">
        <f>F84</f>
        <v>0</v>
      </c>
      <c r="G83" s="96">
        <f t="shared" si="6"/>
        <v>100</v>
      </c>
      <c r="H83" s="153"/>
      <c r="I83" s="144"/>
      <c r="M83" s="145"/>
    </row>
    <row r="84" spans="1:16">
      <c r="A84" s="146" t="s">
        <v>153</v>
      </c>
      <c r="B84" s="139" t="s">
        <v>19</v>
      </c>
      <c r="C84" s="140">
        <v>0</v>
      </c>
      <c r="D84" s="98">
        <v>120</v>
      </c>
      <c r="E84" s="98">
        <v>120</v>
      </c>
      <c r="F84" s="143">
        <f>'[2]tổng cây'!C22</f>
        <v>0</v>
      </c>
      <c r="G84" s="96">
        <f t="shared" si="6"/>
        <v>100</v>
      </c>
      <c r="H84" s="153"/>
      <c r="I84" s="144"/>
      <c r="M84" s="145"/>
    </row>
    <row r="85" spans="1:16">
      <c r="A85" s="146" t="s">
        <v>154</v>
      </c>
      <c r="B85" s="139" t="s">
        <v>54</v>
      </c>
      <c r="C85" s="140" t="e">
        <v>#DIV/0!</v>
      </c>
      <c r="D85" s="98">
        <v>268.33333333333331</v>
      </c>
      <c r="E85" s="98">
        <v>268.33333333333331</v>
      </c>
      <c r="F85" s="143" t="e">
        <f>'[2]tổng cây'!D22</f>
        <v>#DIV/0!</v>
      </c>
      <c r="G85" s="96">
        <f t="shared" si="6"/>
        <v>100</v>
      </c>
      <c r="H85" s="153"/>
      <c r="I85" s="144"/>
      <c r="M85" s="145"/>
    </row>
    <row r="86" spans="1:16">
      <c r="A86" s="146" t="s">
        <v>156</v>
      </c>
      <c r="B86" s="139" t="s">
        <v>54</v>
      </c>
      <c r="C86" s="140">
        <v>0</v>
      </c>
      <c r="D86" s="98">
        <v>3219.9999999999995</v>
      </c>
      <c r="E86" s="98">
        <v>3219.9999999999995</v>
      </c>
      <c r="F86" s="143">
        <f>'[2]tổng cây'!E22</f>
        <v>0</v>
      </c>
      <c r="G86" s="96">
        <f t="shared" si="6"/>
        <v>100</v>
      </c>
      <c r="H86" s="153"/>
      <c r="I86" s="144"/>
      <c r="M86" s="145"/>
    </row>
    <row r="87" spans="1:16" ht="13.8">
      <c r="A87" s="169" t="s">
        <v>174</v>
      </c>
      <c r="B87" s="139" t="s">
        <v>19</v>
      </c>
      <c r="C87" s="140"/>
      <c r="D87" s="98"/>
      <c r="E87" s="98"/>
      <c r="F87" s="143"/>
      <c r="G87" s="96" t="e">
        <f t="shared" si="6"/>
        <v>#DIV/0!</v>
      </c>
      <c r="H87" s="153"/>
      <c r="I87" s="144"/>
      <c r="M87" s="145"/>
    </row>
    <row r="88" spans="1:16">
      <c r="A88" s="123" t="s">
        <v>175</v>
      </c>
      <c r="B88" s="139"/>
      <c r="C88" s="140">
        <v>2824.5</v>
      </c>
      <c r="D88" s="98">
        <v>2958.33</v>
      </c>
      <c r="E88" s="98">
        <v>2988.33</v>
      </c>
      <c r="F88" s="143">
        <f>F91+F95+F99+F103+F107+F111+F115+F119</f>
        <v>3196.7</v>
      </c>
      <c r="G88" s="96">
        <f t="shared" si="6"/>
        <v>101.01408564967397</v>
      </c>
      <c r="H88" s="153"/>
      <c r="I88" s="144"/>
      <c r="M88" s="145"/>
      <c r="P88" s="145"/>
    </row>
    <row r="89" spans="1:16">
      <c r="A89" s="123" t="s">
        <v>176</v>
      </c>
      <c r="B89" s="124" t="s">
        <v>19</v>
      </c>
      <c r="C89" s="140">
        <v>2703.5</v>
      </c>
      <c r="D89" s="98">
        <v>2700.7</v>
      </c>
      <c r="E89" s="98">
        <v>2730.7</v>
      </c>
      <c r="F89" s="143">
        <f>F91+F95+F99+F103+F107+F111</f>
        <v>2775.7</v>
      </c>
      <c r="G89" s="96">
        <f t="shared" si="6"/>
        <v>101.11082311993187</v>
      </c>
      <c r="H89" s="153"/>
      <c r="I89" s="144"/>
      <c r="M89" s="145"/>
    </row>
    <row r="90" spans="1:16" ht="13.8">
      <c r="A90" s="154" t="s">
        <v>177</v>
      </c>
      <c r="B90" s="139"/>
      <c r="C90" s="140"/>
      <c r="D90" s="98"/>
      <c r="E90" s="98"/>
      <c r="F90" s="143"/>
      <c r="G90" s="96" t="e">
        <f t="shared" si="6"/>
        <v>#DIV/0!</v>
      </c>
      <c r="H90" s="153"/>
      <c r="I90" s="144"/>
      <c r="M90" s="145"/>
    </row>
    <row r="91" spans="1:16">
      <c r="A91" s="146" t="s">
        <v>153</v>
      </c>
      <c r="B91" s="139" t="s">
        <v>148</v>
      </c>
      <c r="C91" s="140">
        <v>2029</v>
      </c>
      <c r="D91" s="98">
        <v>2001</v>
      </c>
      <c r="E91" s="98">
        <v>2001</v>
      </c>
      <c r="F91" s="143">
        <f>'[2]tổng cây'!C28</f>
        <v>2001</v>
      </c>
      <c r="G91" s="96">
        <f t="shared" si="6"/>
        <v>99.999999999999986</v>
      </c>
      <c r="H91" s="153">
        <f t="shared" si="6"/>
        <v>99.999999999999986</v>
      </c>
      <c r="I91" s="144">
        <f t="shared" si="7"/>
        <v>4.9975012493753113</v>
      </c>
      <c r="M91" s="145"/>
    </row>
    <row r="92" spans="1:16">
      <c r="A92" s="146" t="s">
        <v>154</v>
      </c>
      <c r="B92" s="139" t="s">
        <v>155</v>
      </c>
      <c r="C92" s="140">
        <v>18.936675461741427</v>
      </c>
      <c r="D92" s="98">
        <v>18</v>
      </c>
      <c r="E92" s="98">
        <v>18</v>
      </c>
      <c r="F92" s="143">
        <f>'[2]tổng cây'!D29</f>
        <v>18</v>
      </c>
      <c r="G92" s="96">
        <f t="shared" si="6"/>
        <v>100</v>
      </c>
      <c r="H92" s="153">
        <f t="shared" si="6"/>
        <v>100</v>
      </c>
      <c r="I92" s="144">
        <f t="shared" si="7"/>
        <v>555.55555555555554</v>
      </c>
      <c r="M92" s="145"/>
    </row>
    <row r="93" spans="1:16">
      <c r="A93" s="146" t="s">
        <v>156</v>
      </c>
      <c r="B93" s="139" t="s">
        <v>54</v>
      </c>
      <c r="C93" s="140">
        <v>3588.5</v>
      </c>
      <c r="D93" s="98">
        <v>4261.3999999999996</v>
      </c>
      <c r="E93" s="98">
        <v>4371.3999999999996</v>
      </c>
      <c r="F93" s="143">
        <f>'[2]tổng cây'!E29</f>
        <v>4371.3999999999996</v>
      </c>
      <c r="G93" s="96">
        <f t="shared" si="6"/>
        <v>102.58131130614352</v>
      </c>
      <c r="H93" s="153">
        <f t="shared" si="6"/>
        <v>100</v>
      </c>
      <c r="I93" s="144">
        <f t="shared" si="7"/>
        <v>2.4072208970325133</v>
      </c>
      <c r="M93" s="145"/>
    </row>
    <row r="94" spans="1:16" ht="13.8">
      <c r="A94" s="154" t="s">
        <v>178</v>
      </c>
      <c r="B94" s="139"/>
      <c r="C94" s="140"/>
      <c r="D94" s="98"/>
      <c r="E94" s="98"/>
      <c r="F94" s="143"/>
      <c r="G94" s="96" t="e">
        <f t="shared" si="6"/>
        <v>#DIV/0!</v>
      </c>
      <c r="H94" s="153"/>
      <c r="I94" s="144"/>
      <c r="M94" s="145"/>
    </row>
    <row r="95" spans="1:16">
      <c r="A95" s="146" t="s">
        <v>153</v>
      </c>
      <c r="B95" s="139" t="s">
        <v>148</v>
      </c>
      <c r="C95" s="140">
        <v>566</v>
      </c>
      <c r="D95" s="98">
        <v>671</v>
      </c>
      <c r="E95" s="98">
        <v>671</v>
      </c>
      <c r="F95" s="143">
        <f>'[2]tổng cây'!C30</f>
        <v>671</v>
      </c>
      <c r="G95" s="96">
        <f t="shared" si="6"/>
        <v>100</v>
      </c>
      <c r="H95" s="153">
        <f t="shared" si="6"/>
        <v>100</v>
      </c>
      <c r="I95" s="144">
        <f t="shared" si="7"/>
        <v>14.903129657228018</v>
      </c>
      <c r="M95" s="145"/>
      <c r="P95" s="145"/>
    </row>
    <row r="96" spans="1:16">
      <c r="A96" s="146" t="s">
        <v>154</v>
      </c>
      <c r="B96" s="139" t="s">
        <v>155</v>
      </c>
      <c r="C96" s="140">
        <v>10.534682080924856</v>
      </c>
      <c r="D96" s="98">
        <v>9</v>
      </c>
      <c r="E96" s="98">
        <v>9</v>
      </c>
      <c r="F96" s="143">
        <f>'[2]tổng cây'!D31</f>
        <v>8</v>
      </c>
      <c r="G96" s="96">
        <f t="shared" si="6"/>
        <v>100</v>
      </c>
      <c r="H96" s="153">
        <f t="shared" si="6"/>
        <v>88.888888888888886</v>
      </c>
      <c r="I96" s="144">
        <f t="shared" si="7"/>
        <v>1111.1111111111111</v>
      </c>
      <c r="M96" s="145"/>
    </row>
    <row r="97" spans="1:13">
      <c r="A97" s="146" t="s">
        <v>156</v>
      </c>
      <c r="B97" s="139" t="s">
        <v>54</v>
      </c>
      <c r="C97" s="140">
        <v>729</v>
      </c>
      <c r="D97" s="98">
        <v>603.9</v>
      </c>
      <c r="E97" s="98">
        <v>585.9</v>
      </c>
      <c r="F97" s="143">
        <f>'[2]tổng cây'!E31</f>
        <v>520.79999999999995</v>
      </c>
      <c r="G97" s="96">
        <f t="shared" si="6"/>
        <v>97.019374068554399</v>
      </c>
      <c r="H97" s="153">
        <f t="shared" si="6"/>
        <v>88.888888888888886</v>
      </c>
      <c r="I97" s="144">
        <f t="shared" si="7"/>
        <v>16.065470122297466</v>
      </c>
      <c r="M97" s="145"/>
    </row>
    <row r="98" spans="1:13" ht="13.8">
      <c r="A98" s="154" t="s">
        <v>179</v>
      </c>
      <c r="B98" s="139"/>
      <c r="C98" s="140"/>
      <c r="D98" s="98"/>
      <c r="E98" s="98"/>
      <c r="F98" s="143"/>
      <c r="G98" s="96" t="e">
        <f t="shared" si="6"/>
        <v>#DIV/0!</v>
      </c>
      <c r="H98" s="153"/>
      <c r="I98" s="144"/>
      <c r="M98" s="145"/>
    </row>
    <row r="99" spans="1:13">
      <c r="A99" s="146" t="s">
        <v>153</v>
      </c>
      <c r="B99" s="139" t="s">
        <v>148</v>
      </c>
      <c r="C99" s="140">
        <v>21</v>
      </c>
      <c r="D99" s="98">
        <v>21.7</v>
      </c>
      <c r="E99" s="98">
        <v>21.7</v>
      </c>
      <c r="F99" s="143">
        <f>'[2]tổng cây'!I33</f>
        <v>21.7</v>
      </c>
      <c r="G99" s="96">
        <f t="shared" si="6"/>
        <v>100</v>
      </c>
      <c r="H99" s="153">
        <f t="shared" si="6"/>
        <v>100</v>
      </c>
      <c r="I99" s="144">
        <f t="shared" si="7"/>
        <v>460.82949308755758</v>
      </c>
      <c r="M99" s="145"/>
    </row>
    <row r="100" spans="1:13">
      <c r="A100" s="146" t="s">
        <v>154</v>
      </c>
      <c r="B100" s="139" t="s">
        <v>155</v>
      </c>
      <c r="C100" s="140">
        <v>15.857142857142858</v>
      </c>
      <c r="D100" s="98">
        <v>240</v>
      </c>
      <c r="E100" s="98">
        <v>240</v>
      </c>
      <c r="F100" s="143">
        <f>'[2]tổng cây'!J33</f>
        <v>220</v>
      </c>
      <c r="G100" s="96">
        <f t="shared" si="6"/>
        <v>100</v>
      </c>
      <c r="H100" s="153">
        <f t="shared" si="6"/>
        <v>91.666666666666671</v>
      </c>
      <c r="I100" s="144">
        <f t="shared" si="7"/>
        <v>41.666666666666671</v>
      </c>
      <c r="M100" s="145"/>
    </row>
    <row r="101" spans="1:13">
      <c r="A101" s="146" t="s">
        <v>156</v>
      </c>
      <c r="B101" s="139" t="s">
        <v>54</v>
      </c>
      <c r="C101" s="140">
        <v>33.299999999999997</v>
      </c>
      <c r="D101" s="98">
        <v>52.079999999999991</v>
      </c>
      <c r="E101" s="98">
        <v>52.079999999999991</v>
      </c>
      <c r="F101" s="143">
        <f>'[2]tổng cây'!E33</f>
        <v>47.739999999999995</v>
      </c>
      <c r="G101" s="96">
        <f t="shared" si="6"/>
        <v>100</v>
      </c>
      <c r="H101" s="153">
        <f t="shared" si="6"/>
        <v>91.666666666666671</v>
      </c>
      <c r="I101" s="144">
        <f t="shared" si="7"/>
        <v>192.01228878648237</v>
      </c>
      <c r="M101" s="145"/>
    </row>
    <row r="102" spans="1:13" ht="13.8">
      <c r="A102" s="154" t="s">
        <v>180</v>
      </c>
      <c r="B102" s="139"/>
      <c r="C102" s="140"/>
      <c r="D102" s="98"/>
      <c r="E102" s="98"/>
      <c r="F102" s="143"/>
      <c r="G102" s="96" t="e">
        <f t="shared" si="6"/>
        <v>#DIV/0!</v>
      </c>
      <c r="H102" s="153"/>
      <c r="I102" s="144"/>
      <c r="M102" s="145"/>
    </row>
    <row r="103" spans="1:13">
      <c r="A103" s="146" t="s">
        <v>153</v>
      </c>
      <c r="B103" s="139" t="s">
        <v>148</v>
      </c>
      <c r="C103" s="140">
        <v>3</v>
      </c>
      <c r="D103" s="98">
        <v>0</v>
      </c>
      <c r="E103" s="98">
        <v>0</v>
      </c>
      <c r="F103" s="143">
        <f>'[2]tổng cây'!C34</f>
        <v>0</v>
      </c>
      <c r="G103" s="96" t="e">
        <f t="shared" si="6"/>
        <v>#DIV/0!</v>
      </c>
      <c r="H103" s="153" t="e">
        <f t="shared" si="6"/>
        <v>#DIV/0!</v>
      </c>
      <c r="I103" s="144" t="e">
        <f t="shared" si="7"/>
        <v>#DIV/0!</v>
      </c>
      <c r="M103" s="145"/>
    </row>
    <row r="104" spans="1:13">
      <c r="A104" s="146" t="s">
        <v>154</v>
      </c>
      <c r="B104" s="139" t="s">
        <v>155</v>
      </c>
      <c r="C104" s="140" t="e">
        <v>#DIV/0!</v>
      </c>
      <c r="D104" s="98" t="e">
        <v>#DIV/0!</v>
      </c>
      <c r="E104" s="98" t="e">
        <v>#DIV/0!</v>
      </c>
      <c r="F104" s="143">
        <f>'[2]tổng cây'!D35</f>
        <v>0</v>
      </c>
      <c r="G104" s="96" t="e">
        <f t="shared" si="6"/>
        <v>#DIV/0!</v>
      </c>
      <c r="H104" s="153" t="e">
        <f t="shared" si="6"/>
        <v>#DIV/0!</v>
      </c>
      <c r="I104" s="144" t="e">
        <f t="shared" si="7"/>
        <v>#DIV/0!</v>
      </c>
      <c r="M104" s="145"/>
    </row>
    <row r="105" spans="1:13">
      <c r="A105" s="146" t="s">
        <v>156</v>
      </c>
      <c r="B105" s="139" t="s">
        <v>54</v>
      </c>
      <c r="C105" s="140">
        <v>0</v>
      </c>
      <c r="D105" s="98">
        <v>0</v>
      </c>
      <c r="E105" s="98">
        <v>0</v>
      </c>
      <c r="F105" s="143">
        <f>'[2]tổng cây'!E35</f>
        <v>0</v>
      </c>
      <c r="G105" s="96" t="e">
        <f t="shared" si="6"/>
        <v>#DIV/0!</v>
      </c>
      <c r="H105" s="153" t="e">
        <f t="shared" si="6"/>
        <v>#DIV/0!</v>
      </c>
      <c r="I105" s="144" t="e">
        <f t="shared" si="7"/>
        <v>#DIV/0!</v>
      </c>
      <c r="M105" s="145"/>
    </row>
    <row r="106" spans="1:13" ht="13.8">
      <c r="A106" s="154" t="s">
        <v>181</v>
      </c>
      <c r="B106" s="139"/>
      <c r="C106" s="140"/>
      <c r="D106" s="98"/>
      <c r="E106" s="98"/>
      <c r="F106" s="143"/>
      <c r="G106" s="96" t="e">
        <f t="shared" si="6"/>
        <v>#DIV/0!</v>
      </c>
      <c r="H106" s="153"/>
      <c r="I106" s="144"/>
      <c r="M106" s="145"/>
    </row>
    <row r="107" spans="1:13">
      <c r="A107" s="146" t="s">
        <v>153</v>
      </c>
      <c r="B107" s="139" t="s">
        <v>148</v>
      </c>
      <c r="C107" s="140">
        <v>69</v>
      </c>
      <c r="D107" s="98">
        <v>7</v>
      </c>
      <c r="E107" s="98">
        <v>7</v>
      </c>
      <c r="F107" s="143">
        <f>'[2]tổng cây'!C36</f>
        <v>7</v>
      </c>
      <c r="G107" s="96">
        <f t="shared" si="6"/>
        <v>99.999999999999986</v>
      </c>
      <c r="H107" s="153">
        <f t="shared" si="6"/>
        <v>99.999999999999986</v>
      </c>
      <c r="I107" s="144">
        <f t="shared" si="7"/>
        <v>1428.5714285714282</v>
      </c>
      <c r="M107" s="145"/>
    </row>
    <row r="108" spans="1:13">
      <c r="A108" s="146" t="s">
        <v>154</v>
      </c>
      <c r="B108" s="139" t="s">
        <v>155</v>
      </c>
      <c r="C108" s="140">
        <v>4.6365948275862063</v>
      </c>
      <c r="D108" s="98">
        <v>70</v>
      </c>
      <c r="E108" s="98">
        <v>70</v>
      </c>
      <c r="F108" s="143">
        <f>'[2]tổng cây'!D37</f>
        <v>70</v>
      </c>
      <c r="G108" s="96">
        <f t="shared" si="6"/>
        <v>100</v>
      </c>
      <c r="H108" s="153">
        <f t="shared" si="6"/>
        <v>100</v>
      </c>
      <c r="I108" s="144">
        <f t="shared" si="7"/>
        <v>142.85714285714286</v>
      </c>
      <c r="M108" s="145"/>
    </row>
    <row r="109" spans="1:13">
      <c r="A109" s="146" t="s">
        <v>156</v>
      </c>
      <c r="B109" s="139" t="s">
        <v>54</v>
      </c>
      <c r="C109" s="140">
        <v>21.513799999999996</v>
      </c>
      <c r="D109" s="98">
        <v>2.1</v>
      </c>
      <c r="E109" s="98">
        <v>2.1</v>
      </c>
      <c r="F109" s="143">
        <f>'[2]tổng cây'!E37</f>
        <v>0</v>
      </c>
      <c r="G109" s="96">
        <f t="shared" si="6"/>
        <v>100</v>
      </c>
      <c r="H109" s="153">
        <f t="shared" si="6"/>
        <v>0</v>
      </c>
      <c r="I109" s="144">
        <f t="shared" si="7"/>
        <v>4761.9047619047615</v>
      </c>
      <c r="M109" s="145"/>
    </row>
    <row r="110" spans="1:13" ht="13.8">
      <c r="A110" s="154" t="s">
        <v>182</v>
      </c>
      <c r="B110" s="139"/>
      <c r="C110" s="140"/>
      <c r="D110" s="98"/>
      <c r="E110" s="98"/>
      <c r="F110" s="143"/>
      <c r="G110" s="96" t="e">
        <f t="shared" si="6"/>
        <v>#DIV/0!</v>
      </c>
      <c r="H110" s="153"/>
      <c r="I110" s="144"/>
      <c r="M110" s="145"/>
    </row>
    <row r="111" spans="1:13">
      <c r="A111" s="146" t="s">
        <v>153</v>
      </c>
      <c r="B111" s="139" t="s">
        <v>148</v>
      </c>
      <c r="C111" s="140">
        <v>15.5</v>
      </c>
      <c r="D111" s="98">
        <v>0</v>
      </c>
      <c r="E111" s="98">
        <v>30</v>
      </c>
      <c r="F111" s="143">
        <f>'[2]tổng cây'!C38</f>
        <v>75</v>
      </c>
      <c r="G111" s="96" t="e">
        <f t="shared" si="6"/>
        <v>#DIV/0!</v>
      </c>
      <c r="H111" s="153">
        <f t="shared" si="6"/>
        <v>250</v>
      </c>
      <c r="I111" s="144" t="e">
        <f t="shared" si="7"/>
        <v>#DIV/0!</v>
      </c>
      <c r="M111" s="145"/>
    </row>
    <row r="112" spans="1:13">
      <c r="A112" s="146" t="s">
        <v>154</v>
      </c>
      <c r="B112" s="139" t="s">
        <v>155</v>
      </c>
      <c r="C112" s="140">
        <v>90</v>
      </c>
      <c r="D112" s="98" t="e">
        <v>#DIV/0!</v>
      </c>
      <c r="E112" s="98">
        <v>350</v>
      </c>
      <c r="F112" s="143">
        <f>'[2]tổng cây'!D38</f>
        <v>340</v>
      </c>
      <c r="G112" s="96" t="e">
        <f t="shared" si="6"/>
        <v>#DIV/0!</v>
      </c>
      <c r="H112" s="153">
        <f t="shared" si="6"/>
        <v>97.142857142857139</v>
      </c>
      <c r="I112" s="144" t="e">
        <f t="shared" si="7"/>
        <v>#DIV/0!</v>
      </c>
      <c r="M112" s="145"/>
    </row>
    <row r="113" spans="1:13">
      <c r="A113" s="146" t="s">
        <v>156</v>
      </c>
      <c r="B113" s="139" t="s">
        <v>54</v>
      </c>
      <c r="C113" s="140">
        <v>139.5</v>
      </c>
      <c r="D113" s="98">
        <v>0</v>
      </c>
      <c r="E113" s="98">
        <v>1050</v>
      </c>
      <c r="F113" s="143">
        <f>'[2]tổng cây'!E38</f>
        <v>2550</v>
      </c>
      <c r="G113" s="96" t="e">
        <f t="shared" si="6"/>
        <v>#DIV/0!</v>
      </c>
      <c r="H113" s="153">
        <f t="shared" si="6"/>
        <v>242.85714285714286</v>
      </c>
      <c r="I113" s="144" t="e">
        <f t="shared" si="7"/>
        <v>#DIV/0!</v>
      </c>
      <c r="M113" s="145"/>
    </row>
    <row r="114" spans="1:13" ht="13.8">
      <c r="A114" s="169" t="s">
        <v>183</v>
      </c>
      <c r="B114" s="139"/>
      <c r="C114" s="140">
        <v>121</v>
      </c>
      <c r="D114" s="98"/>
      <c r="E114" s="98"/>
      <c r="F114" s="143"/>
      <c r="G114" s="96" t="e">
        <f t="shared" si="6"/>
        <v>#DIV/0!</v>
      </c>
      <c r="H114" s="153"/>
      <c r="I114" s="144"/>
      <c r="M114" s="145"/>
    </row>
    <row r="115" spans="1:13">
      <c r="A115" s="146" t="s">
        <v>153</v>
      </c>
      <c r="B115" s="139" t="s">
        <v>148</v>
      </c>
      <c r="C115" s="140">
        <v>36</v>
      </c>
      <c r="D115" s="98">
        <v>40.33</v>
      </c>
      <c r="E115" s="98">
        <v>40.33</v>
      </c>
      <c r="F115" s="143">
        <f>'[2]tổng cây'!C41</f>
        <v>108</v>
      </c>
      <c r="G115" s="96">
        <f t="shared" si="6"/>
        <v>100</v>
      </c>
      <c r="H115" s="153">
        <f t="shared" si="6"/>
        <v>267.79072650632287</v>
      </c>
      <c r="I115" s="144">
        <f t="shared" si="7"/>
        <v>247.95437639474338</v>
      </c>
      <c r="M115" s="145"/>
    </row>
    <row r="116" spans="1:13">
      <c r="A116" s="146" t="s">
        <v>154</v>
      </c>
      <c r="B116" s="139" t="s">
        <v>155</v>
      </c>
      <c r="C116" s="140">
        <v>95</v>
      </c>
      <c r="D116" s="98">
        <v>100</v>
      </c>
      <c r="E116" s="98">
        <v>100</v>
      </c>
      <c r="F116" s="143">
        <f>'[2]tổng cây'!D41</f>
        <v>0</v>
      </c>
      <c r="G116" s="96">
        <f t="shared" si="6"/>
        <v>100</v>
      </c>
      <c r="H116" s="153">
        <f t="shared" si="6"/>
        <v>0</v>
      </c>
      <c r="I116" s="144">
        <f t="shared" si="7"/>
        <v>100</v>
      </c>
      <c r="M116" s="145"/>
    </row>
    <row r="117" spans="1:13">
      <c r="A117" s="146" t="s">
        <v>156</v>
      </c>
      <c r="B117" s="139" t="s">
        <v>54</v>
      </c>
      <c r="C117" s="140">
        <v>342</v>
      </c>
      <c r="D117" s="98">
        <v>403.29999999999995</v>
      </c>
      <c r="E117" s="98">
        <v>403.29999999999995</v>
      </c>
      <c r="F117" s="143">
        <f>'[2]tổng cây'!E41</f>
        <v>0</v>
      </c>
      <c r="G117" s="96">
        <f t="shared" si="6"/>
        <v>100</v>
      </c>
      <c r="H117" s="153">
        <f t="shared" si="6"/>
        <v>0</v>
      </c>
      <c r="I117" s="144">
        <f t="shared" si="7"/>
        <v>24.79543763947434</v>
      </c>
      <c r="M117" s="145"/>
    </row>
    <row r="118" spans="1:13">
      <c r="A118" s="146" t="s">
        <v>184</v>
      </c>
      <c r="B118" s="139"/>
      <c r="C118" s="140"/>
      <c r="D118" s="98"/>
      <c r="E118" s="98"/>
      <c r="F118" s="143"/>
      <c r="G118" s="96" t="e">
        <f t="shared" si="6"/>
        <v>#DIV/0!</v>
      </c>
      <c r="H118" s="153"/>
      <c r="I118" s="144"/>
      <c r="M118" s="145"/>
    </row>
    <row r="119" spans="1:13">
      <c r="A119" s="146" t="s">
        <v>153</v>
      </c>
      <c r="B119" s="139" t="s">
        <v>148</v>
      </c>
      <c r="C119" s="140">
        <v>85</v>
      </c>
      <c r="D119" s="98">
        <v>217.3</v>
      </c>
      <c r="E119" s="98">
        <v>217.3</v>
      </c>
      <c r="F119" s="143">
        <f>'[2]tổng cây'!C43</f>
        <v>313</v>
      </c>
      <c r="G119" s="96">
        <f t="shared" si="6"/>
        <v>100</v>
      </c>
      <c r="H119" s="153"/>
      <c r="I119" s="144"/>
      <c r="M119" s="145"/>
    </row>
    <row r="120" spans="1:13">
      <c r="A120" s="146" t="s">
        <v>154</v>
      </c>
      <c r="B120" s="139" t="s">
        <v>155</v>
      </c>
      <c r="C120" s="140">
        <v>108</v>
      </c>
      <c r="D120" s="98">
        <v>130</v>
      </c>
      <c r="E120" s="98">
        <v>130</v>
      </c>
      <c r="F120" s="143">
        <f>'[2]tổng cây'!D44</f>
        <v>180</v>
      </c>
      <c r="G120" s="96">
        <f t="shared" si="6"/>
        <v>100</v>
      </c>
      <c r="H120" s="153"/>
      <c r="I120" s="144"/>
      <c r="M120" s="145"/>
    </row>
    <row r="121" spans="1:13">
      <c r="A121" s="146" t="s">
        <v>156</v>
      </c>
      <c r="B121" s="139" t="s">
        <v>54</v>
      </c>
      <c r="C121" s="140">
        <v>972</v>
      </c>
      <c r="D121" s="98">
        <v>2145</v>
      </c>
      <c r="E121" s="98">
        <v>2145</v>
      </c>
      <c r="F121" s="143">
        <f>'[2]tổng cây'!E44</f>
        <v>2970</v>
      </c>
      <c r="G121" s="96">
        <f t="shared" si="6"/>
        <v>100</v>
      </c>
      <c r="H121" s="153"/>
      <c r="I121" s="144"/>
      <c r="M121" s="145"/>
    </row>
    <row r="122" spans="1:13" ht="13.8">
      <c r="A122" s="154" t="s">
        <v>185</v>
      </c>
      <c r="B122" s="155" t="s">
        <v>186</v>
      </c>
      <c r="C122" s="170">
        <v>262120</v>
      </c>
      <c r="D122" s="171">
        <v>263537</v>
      </c>
      <c r="E122" s="98">
        <v>263637</v>
      </c>
      <c r="F122" s="172">
        <f>F123+250000</f>
        <v>264475</v>
      </c>
      <c r="G122" s="96">
        <f t="shared" si="6"/>
        <v>100.03794533594903</v>
      </c>
      <c r="H122" s="153">
        <f t="shared" si="6"/>
        <v>100.3178613017141</v>
      </c>
      <c r="I122" s="144">
        <f t="shared" si="7"/>
        <v>3.7959734434234678E-2</v>
      </c>
      <c r="K122" s="12">
        <f>F122/E122*100</f>
        <v>100.31786130171409</v>
      </c>
      <c r="M122" s="145"/>
    </row>
    <row r="123" spans="1:13" ht="13.8">
      <c r="A123" s="154" t="s">
        <v>187</v>
      </c>
      <c r="B123" s="155" t="s">
        <v>186</v>
      </c>
      <c r="C123" s="170">
        <v>12120</v>
      </c>
      <c r="D123" s="171">
        <v>13537</v>
      </c>
      <c r="E123" s="172">
        <v>13637</v>
      </c>
      <c r="F123" s="172">
        <f>SUM(F124:F127)</f>
        <v>14475</v>
      </c>
      <c r="G123" s="96">
        <f t="shared" si="6"/>
        <v>100.73871611139839</v>
      </c>
      <c r="H123" s="153">
        <f t="shared" si="6"/>
        <v>106.14504656449365</v>
      </c>
      <c r="I123" s="144">
        <f t="shared" si="7"/>
        <v>0.74417312633078514</v>
      </c>
      <c r="J123" s="145">
        <f t="shared" ref="J123:J128" si="8">F123-C123</f>
        <v>2355</v>
      </c>
      <c r="K123" s="12">
        <f>F123/E123*100</f>
        <v>106.14504656449367</v>
      </c>
      <c r="M123" s="145"/>
    </row>
    <row r="124" spans="1:13">
      <c r="A124" s="146" t="s">
        <v>188</v>
      </c>
      <c r="B124" s="139" t="s">
        <v>189</v>
      </c>
      <c r="C124" s="140">
        <v>766</v>
      </c>
      <c r="D124" s="171">
        <v>497</v>
      </c>
      <c r="E124" s="143">
        <v>497</v>
      </c>
      <c r="F124" s="143">
        <f>'[2]chăn nuôi'!F8</f>
        <v>700</v>
      </c>
      <c r="G124" s="96">
        <f t="shared" si="6"/>
        <v>100</v>
      </c>
      <c r="H124" s="153">
        <f t="shared" si="6"/>
        <v>140.84507042253523</v>
      </c>
      <c r="I124" s="144">
        <f t="shared" si="7"/>
        <v>20.120724346076461</v>
      </c>
      <c r="J124" s="145">
        <f t="shared" si="8"/>
        <v>-66</v>
      </c>
      <c r="M124" s="145"/>
    </row>
    <row r="125" spans="1:13">
      <c r="A125" s="146" t="s">
        <v>190</v>
      </c>
      <c r="B125" s="139" t="s">
        <v>189</v>
      </c>
      <c r="C125" s="140">
        <v>5093</v>
      </c>
      <c r="D125" s="171">
        <v>5390</v>
      </c>
      <c r="E125" s="143">
        <v>5490</v>
      </c>
      <c r="F125" s="143">
        <f>'[2]chăn nuôi'!H8</f>
        <v>6140</v>
      </c>
      <c r="G125" s="96">
        <f t="shared" si="6"/>
        <v>101.85528756957329</v>
      </c>
      <c r="H125" s="153">
        <f t="shared" si="6"/>
        <v>111.83970856102005</v>
      </c>
      <c r="I125" s="144">
        <f t="shared" si="7"/>
        <v>1.8897084892314155</v>
      </c>
      <c r="J125" s="145">
        <f t="shared" si="8"/>
        <v>1047</v>
      </c>
      <c r="M125" s="145"/>
    </row>
    <row r="126" spans="1:13">
      <c r="A126" s="146" t="s">
        <v>191</v>
      </c>
      <c r="B126" s="139" t="s">
        <v>189</v>
      </c>
      <c r="C126" s="140">
        <v>4962</v>
      </c>
      <c r="D126" s="171">
        <v>6613</v>
      </c>
      <c r="E126" s="143">
        <v>6613</v>
      </c>
      <c r="F126" s="143">
        <f>'[2]chăn nuôi'!J8</f>
        <v>6090</v>
      </c>
      <c r="G126" s="96">
        <f t="shared" si="6"/>
        <v>100</v>
      </c>
      <c r="H126" s="153">
        <f t="shared" si="6"/>
        <v>92.091335248752458</v>
      </c>
      <c r="I126" s="144">
        <f t="shared" si="7"/>
        <v>1.5121729925903524</v>
      </c>
      <c r="J126" s="145">
        <f t="shared" si="8"/>
        <v>1128</v>
      </c>
      <c r="M126" s="145"/>
    </row>
    <row r="127" spans="1:13">
      <c r="A127" s="146" t="s">
        <v>192</v>
      </c>
      <c r="B127" s="139" t="s">
        <v>189</v>
      </c>
      <c r="C127" s="140">
        <v>1299</v>
      </c>
      <c r="D127" s="171">
        <v>1037</v>
      </c>
      <c r="E127" s="143">
        <v>1037</v>
      </c>
      <c r="F127" s="143">
        <f>'[2]chăn nuôi'!L8</f>
        <v>1545</v>
      </c>
      <c r="G127" s="96">
        <f t="shared" si="6"/>
        <v>100.00000000000001</v>
      </c>
      <c r="H127" s="153">
        <f t="shared" si="6"/>
        <v>148.98746383799423</v>
      </c>
      <c r="I127" s="144">
        <f t="shared" si="7"/>
        <v>9.6432015429122497</v>
      </c>
      <c r="J127" s="145">
        <f t="shared" si="8"/>
        <v>246</v>
      </c>
      <c r="M127" s="145"/>
    </row>
    <row r="128" spans="1:13">
      <c r="A128" s="123" t="s">
        <v>193</v>
      </c>
      <c r="B128" s="124" t="s">
        <v>194</v>
      </c>
      <c r="C128" s="140">
        <v>38.759</v>
      </c>
      <c r="D128" s="171">
        <v>41.286999999999999</v>
      </c>
      <c r="E128" s="143">
        <v>41.286999999999999</v>
      </c>
      <c r="F128" s="143">
        <f>'[2]chăn nuôi'!N8/1000</f>
        <v>41.152000000000001</v>
      </c>
      <c r="G128" s="96">
        <f t="shared" si="6"/>
        <v>100</v>
      </c>
      <c r="H128" s="153">
        <f t="shared" si="6"/>
        <v>99.673020563373456</v>
      </c>
      <c r="I128" s="144">
        <f t="shared" si="7"/>
        <v>242.20699009373411</v>
      </c>
      <c r="J128" s="145">
        <f t="shared" si="8"/>
        <v>2.3930000000000007</v>
      </c>
      <c r="M128" s="145"/>
    </row>
    <row r="129" spans="1:17">
      <c r="A129" s="123" t="s">
        <v>195</v>
      </c>
      <c r="B129" s="124"/>
      <c r="C129" s="140"/>
      <c r="D129" s="171"/>
      <c r="E129" s="98"/>
      <c r="F129" s="143"/>
      <c r="G129" s="96" t="e">
        <f t="shared" si="6"/>
        <v>#DIV/0!</v>
      </c>
      <c r="H129" s="153"/>
      <c r="I129" s="144"/>
      <c r="M129" s="145"/>
    </row>
    <row r="130" spans="1:17">
      <c r="A130" s="146" t="s">
        <v>196</v>
      </c>
      <c r="B130" s="139" t="s">
        <v>50</v>
      </c>
      <c r="C130" s="140">
        <v>1071.39114</v>
      </c>
      <c r="D130" s="171">
        <v>5749.4304119999997</v>
      </c>
      <c r="E130" s="98">
        <v>1854.1519719999999</v>
      </c>
      <c r="F130" s="143">
        <f>'[2]chăn nuôi'!D15</f>
        <v>1906.726312</v>
      </c>
      <c r="G130" s="96">
        <f t="shared" si="6"/>
        <v>32.249315830140013</v>
      </c>
      <c r="H130" s="153">
        <f t="shared" si="6"/>
        <v>102.83549249435525</v>
      </c>
      <c r="I130" s="144">
        <f t="shared" si="7"/>
        <v>0.56091322999284288</v>
      </c>
      <c r="M130" s="145"/>
    </row>
    <row r="131" spans="1:17">
      <c r="A131" s="146" t="s">
        <v>197</v>
      </c>
      <c r="B131" s="139" t="s">
        <v>119</v>
      </c>
      <c r="C131" s="140">
        <v>581.38499999999999</v>
      </c>
      <c r="D131" s="171">
        <v>928.95749999999998</v>
      </c>
      <c r="E131" s="98">
        <v>928.95749999999998</v>
      </c>
      <c r="F131" s="143">
        <f>'[2]chăn nuôi'!N16</f>
        <v>925.92</v>
      </c>
      <c r="G131" s="96">
        <f t="shared" si="6"/>
        <v>100</v>
      </c>
      <c r="H131" s="153">
        <f t="shared" si="6"/>
        <v>99.673020563373456</v>
      </c>
      <c r="I131" s="144">
        <f t="shared" si="7"/>
        <v>10.764755115277072</v>
      </c>
      <c r="M131" s="145"/>
    </row>
    <row r="132" spans="1:17">
      <c r="A132" s="123" t="s">
        <v>198</v>
      </c>
      <c r="B132" s="124"/>
      <c r="C132" s="173"/>
      <c r="D132" s="171"/>
      <c r="E132" s="98"/>
      <c r="F132" s="174"/>
      <c r="G132" s="96" t="e">
        <f t="shared" si="6"/>
        <v>#DIV/0!</v>
      </c>
      <c r="H132" s="153"/>
      <c r="I132" s="144"/>
      <c r="M132" s="145"/>
    </row>
    <row r="133" spans="1:17">
      <c r="A133" s="123" t="s">
        <v>199</v>
      </c>
      <c r="B133" s="124"/>
      <c r="C133" s="175">
        <v>71458</v>
      </c>
      <c r="D133" s="168">
        <v>11775.59</v>
      </c>
      <c r="E133" s="168">
        <v>11775.59</v>
      </c>
      <c r="F133" s="168">
        <f>SUM(F134:F136)</f>
        <v>11775.59</v>
      </c>
      <c r="G133" s="96">
        <f t="shared" si="6"/>
        <v>100</v>
      </c>
      <c r="H133" s="153"/>
      <c r="I133" s="144"/>
      <c r="M133" s="145"/>
    </row>
    <row r="134" spans="1:17">
      <c r="A134" s="176" t="s">
        <v>200</v>
      </c>
      <c r="B134" s="139" t="s">
        <v>19</v>
      </c>
      <c r="C134" s="140">
        <v>14043</v>
      </c>
      <c r="D134" s="143">
        <v>1377.19</v>
      </c>
      <c r="E134" s="143">
        <v>1377.19</v>
      </c>
      <c r="F134" s="143">
        <v>1377.19</v>
      </c>
      <c r="G134" s="96">
        <f t="shared" si="6"/>
        <v>100</v>
      </c>
      <c r="H134" s="153"/>
      <c r="I134" s="144"/>
      <c r="M134" s="145"/>
      <c r="O134" s="143">
        <v>1377.19</v>
      </c>
    </row>
    <row r="135" spans="1:17">
      <c r="A135" s="176" t="s">
        <v>201</v>
      </c>
      <c r="B135" s="139" t="s">
        <v>19</v>
      </c>
      <c r="C135" s="140">
        <v>30099</v>
      </c>
      <c r="D135" s="143">
        <v>4286.03</v>
      </c>
      <c r="E135" s="143">
        <v>4286.03</v>
      </c>
      <c r="F135" s="143">
        <v>4286.03</v>
      </c>
      <c r="G135" s="96">
        <f t="shared" ref="G135:H171" si="9">E135/D135%</f>
        <v>100</v>
      </c>
      <c r="H135" s="153"/>
      <c r="I135" s="144"/>
      <c r="M135" s="145"/>
    </row>
    <row r="136" spans="1:17">
      <c r="A136" s="176" t="s">
        <v>202</v>
      </c>
      <c r="B136" s="139" t="s">
        <v>19</v>
      </c>
      <c r="C136" s="140">
        <v>27316</v>
      </c>
      <c r="D136" s="143">
        <v>6112.37</v>
      </c>
      <c r="E136" s="143">
        <v>6112.37</v>
      </c>
      <c r="F136" s="143">
        <v>6112.37</v>
      </c>
      <c r="G136" s="96">
        <f t="shared" si="9"/>
        <v>100</v>
      </c>
      <c r="H136" s="153"/>
      <c r="I136" s="144"/>
      <c r="M136" s="145"/>
    </row>
    <row r="137" spans="1:17">
      <c r="A137" s="177" t="s">
        <v>203</v>
      </c>
      <c r="B137" s="124" t="s">
        <v>19</v>
      </c>
      <c r="C137" s="178">
        <v>71803.16</v>
      </c>
      <c r="D137" s="171">
        <v>12381.949999999999</v>
      </c>
      <c r="E137" s="171">
        <v>12381.949999999999</v>
      </c>
      <c r="F137" s="171">
        <f>F138+F142</f>
        <v>12381.949999999999</v>
      </c>
      <c r="G137" s="96">
        <f t="shared" si="9"/>
        <v>100</v>
      </c>
      <c r="H137" s="153">
        <f t="shared" si="9"/>
        <v>100</v>
      </c>
      <c r="I137" s="144">
        <f t="shared" ref="I137:I171" si="10">G137/D137%</f>
        <v>0.80762723157499428</v>
      </c>
      <c r="M137" s="145"/>
      <c r="P137" s="12">
        <v>11775.6</v>
      </c>
      <c r="Q137" s="94">
        <f>D137-P137</f>
        <v>606.34999999999854</v>
      </c>
    </row>
    <row r="138" spans="1:17">
      <c r="A138" s="179" t="s">
        <v>204</v>
      </c>
      <c r="B138" s="180" t="s">
        <v>19</v>
      </c>
      <c r="C138" s="178">
        <v>68855.3</v>
      </c>
      <c r="D138" s="171">
        <v>9867.9399999999987</v>
      </c>
      <c r="E138" s="171">
        <v>9867.9399999999987</v>
      </c>
      <c r="F138" s="171">
        <f>5618.91+4249.03</f>
        <v>9867.9399999999987</v>
      </c>
      <c r="G138" s="96">
        <f t="shared" si="9"/>
        <v>100</v>
      </c>
      <c r="H138" s="153">
        <f t="shared" si="9"/>
        <v>100</v>
      </c>
      <c r="I138" s="144">
        <f t="shared" si="10"/>
        <v>1.0133827323635938</v>
      </c>
      <c r="K138" s="12">
        <f>66234.5</f>
        <v>66234.5</v>
      </c>
      <c r="M138" s="145"/>
    </row>
    <row r="139" spans="1:17">
      <c r="A139" s="176" t="s">
        <v>205</v>
      </c>
      <c r="B139" s="139" t="s">
        <v>19</v>
      </c>
      <c r="C139" s="178">
        <v>13558.94</v>
      </c>
      <c r="D139" s="171">
        <v>1474.35</v>
      </c>
      <c r="E139" s="171">
        <v>1474.35</v>
      </c>
      <c r="F139" s="171">
        <v>1474.35</v>
      </c>
      <c r="G139" s="96">
        <f t="shared" si="9"/>
        <v>100</v>
      </c>
      <c r="H139" s="153">
        <f t="shared" si="9"/>
        <v>100</v>
      </c>
      <c r="I139" s="144">
        <f t="shared" si="10"/>
        <v>6.7826499813477126</v>
      </c>
      <c r="K139" s="94">
        <f>K138-E139-E140</f>
        <v>60463.33</v>
      </c>
      <c r="M139" s="145"/>
    </row>
    <row r="140" spans="1:17">
      <c r="A140" s="176" t="s">
        <v>206</v>
      </c>
      <c r="B140" s="139" t="s">
        <v>19</v>
      </c>
      <c r="C140" s="178">
        <v>29972.07</v>
      </c>
      <c r="D140" s="171">
        <v>4296.82</v>
      </c>
      <c r="E140" s="171">
        <v>4296.82</v>
      </c>
      <c r="F140" s="171">
        <f>563.21+3733.61</f>
        <v>4296.82</v>
      </c>
      <c r="G140" s="96">
        <f t="shared" si="9"/>
        <v>100</v>
      </c>
      <c r="H140" s="153">
        <f t="shared" si="9"/>
        <v>100</v>
      </c>
      <c r="I140" s="144">
        <f t="shared" si="10"/>
        <v>2.3273025167449419</v>
      </c>
      <c r="M140" s="145"/>
    </row>
    <row r="141" spans="1:17">
      <c r="A141" s="176" t="s">
        <v>207</v>
      </c>
      <c r="B141" s="139" t="s">
        <v>19</v>
      </c>
      <c r="C141" s="178">
        <v>25324.29</v>
      </c>
      <c r="D141" s="171">
        <v>6137.58</v>
      </c>
      <c r="E141" s="171">
        <v>6137.58</v>
      </c>
      <c r="F141" s="171">
        <f>4673.01+1464.57</f>
        <v>6137.58</v>
      </c>
      <c r="G141" s="96">
        <f t="shared" si="9"/>
        <v>100</v>
      </c>
      <c r="H141" s="153">
        <f t="shared" si="9"/>
        <v>100</v>
      </c>
      <c r="I141" s="144">
        <f t="shared" si="10"/>
        <v>1.6293066648418433</v>
      </c>
      <c r="M141" s="145"/>
    </row>
    <row r="142" spans="1:17">
      <c r="A142" s="179" t="s">
        <v>208</v>
      </c>
      <c r="B142" s="180" t="s">
        <v>19</v>
      </c>
      <c r="C142" s="178">
        <v>2947.86</v>
      </c>
      <c r="D142" s="171">
        <v>2514.0100000000002</v>
      </c>
      <c r="E142" s="171">
        <v>2514.0100000000002</v>
      </c>
      <c r="F142" s="171">
        <f>1221.49+1292.52</f>
        <v>2514.0100000000002</v>
      </c>
      <c r="G142" s="96">
        <f t="shared" si="9"/>
        <v>100</v>
      </c>
      <c r="H142" s="153">
        <f t="shared" si="9"/>
        <v>100</v>
      </c>
      <c r="I142" s="144">
        <f t="shared" si="10"/>
        <v>3.9777089192167088</v>
      </c>
      <c r="M142" s="145"/>
    </row>
    <row r="143" spans="1:17">
      <c r="A143" s="181" t="s">
        <v>209</v>
      </c>
      <c r="B143" s="130" t="s">
        <v>19</v>
      </c>
      <c r="C143" s="150">
        <v>200</v>
      </c>
      <c r="D143" s="182">
        <v>1981.26</v>
      </c>
      <c r="E143" s="152">
        <v>350</v>
      </c>
      <c r="F143" s="183">
        <v>100</v>
      </c>
      <c r="G143" s="132">
        <f t="shared" si="9"/>
        <v>17.665525978417776</v>
      </c>
      <c r="H143" s="134">
        <f t="shared" si="9"/>
        <v>28.571428571428573</v>
      </c>
      <c r="I143" s="135">
        <f t="shared" si="10"/>
        <v>0.89163088026900938</v>
      </c>
      <c r="M143" s="145"/>
    </row>
    <row r="144" spans="1:17">
      <c r="A144" s="146" t="s">
        <v>210</v>
      </c>
      <c r="B144" s="139" t="s">
        <v>19</v>
      </c>
      <c r="C144" s="140">
        <v>130</v>
      </c>
      <c r="D144" s="171">
        <v>150</v>
      </c>
      <c r="E144" s="98">
        <v>150</v>
      </c>
      <c r="F144" s="97">
        <v>250</v>
      </c>
      <c r="G144" s="96">
        <f t="shared" si="9"/>
        <v>100</v>
      </c>
      <c r="H144" s="153">
        <f t="shared" si="9"/>
        <v>166.66666666666666</v>
      </c>
      <c r="I144" s="144">
        <f t="shared" si="10"/>
        <v>66.666666666666671</v>
      </c>
      <c r="M144" s="145"/>
    </row>
    <row r="145" spans="1:15">
      <c r="A145" s="138" t="s">
        <v>211</v>
      </c>
      <c r="B145" s="180" t="s">
        <v>19</v>
      </c>
      <c r="C145" s="173"/>
      <c r="D145" s="171"/>
      <c r="E145" s="98"/>
      <c r="F145" s="184"/>
      <c r="G145" s="96" t="e">
        <f t="shared" si="9"/>
        <v>#DIV/0!</v>
      </c>
      <c r="H145" s="153"/>
      <c r="I145" s="144"/>
      <c r="M145" s="145"/>
    </row>
    <row r="146" spans="1:15">
      <c r="A146" s="176" t="s">
        <v>212</v>
      </c>
      <c r="B146" s="139" t="s">
        <v>148</v>
      </c>
      <c r="C146" s="185">
        <v>11097</v>
      </c>
      <c r="D146" s="171">
        <v>11097</v>
      </c>
      <c r="E146" s="98">
        <v>11097</v>
      </c>
      <c r="F146" s="186">
        <v>11097</v>
      </c>
      <c r="G146" s="96">
        <f t="shared" si="9"/>
        <v>100</v>
      </c>
      <c r="H146" s="153">
        <f t="shared" si="9"/>
        <v>100</v>
      </c>
      <c r="I146" s="144">
        <f t="shared" si="10"/>
        <v>0.90114445345588901</v>
      </c>
      <c r="M146" s="145"/>
    </row>
    <row r="147" spans="1:15">
      <c r="A147" s="176" t="s">
        <v>213</v>
      </c>
      <c r="B147" s="139" t="s">
        <v>148</v>
      </c>
      <c r="C147" s="173"/>
      <c r="D147" s="171"/>
      <c r="E147" s="148"/>
      <c r="F147" s="184"/>
      <c r="G147" s="96" t="e">
        <f t="shared" si="9"/>
        <v>#DIV/0!</v>
      </c>
      <c r="H147" s="153"/>
      <c r="I147" s="144"/>
      <c r="M147" s="145"/>
    </row>
    <row r="148" spans="1:15">
      <c r="A148" s="176" t="s">
        <v>214</v>
      </c>
      <c r="B148" s="139" t="s">
        <v>215</v>
      </c>
      <c r="C148" s="140">
        <v>20000</v>
      </c>
      <c r="D148" s="171">
        <v>11097</v>
      </c>
      <c r="E148" s="148">
        <v>11097</v>
      </c>
      <c r="F148" s="97">
        <v>0</v>
      </c>
      <c r="G148" s="96">
        <f t="shared" si="9"/>
        <v>100</v>
      </c>
      <c r="H148" s="153">
        <f t="shared" si="9"/>
        <v>0</v>
      </c>
      <c r="I148" s="144">
        <f>G148/D148%</f>
        <v>0.90114445345588901</v>
      </c>
      <c r="M148" s="145"/>
    </row>
    <row r="149" spans="1:15">
      <c r="A149" s="176" t="s">
        <v>216</v>
      </c>
      <c r="B149" s="139" t="s">
        <v>217</v>
      </c>
      <c r="C149" s="140">
        <v>15080</v>
      </c>
      <c r="D149" s="171">
        <v>17400</v>
      </c>
      <c r="E149" s="98">
        <v>17400</v>
      </c>
      <c r="F149" s="97">
        <f>F144*116</f>
        <v>29000</v>
      </c>
      <c r="G149" s="96">
        <f t="shared" si="9"/>
        <v>100</v>
      </c>
      <c r="H149" s="153">
        <f t="shared" si="9"/>
        <v>166.66666666666666</v>
      </c>
      <c r="I149" s="144">
        <f t="shared" si="10"/>
        <v>0.57471264367816088</v>
      </c>
      <c r="M149" s="145"/>
    </row>
    <row r="150" spans="1:15">
      <c r="A150" s="138" t="s">
        <v>218</v>
      </c>
      <c r="B150" s="187" t="s">
        <v>1</v>
      </c>
      <c r="C150" s="140">
        <v>0</v>
      </c>
      <c r="D150" s="148">
        <v>2500</v>
      </c>
      <c r="E150" s="148">
        <v>2948</v>
      </c>
      <c r="F150" s="148">
        <f>F144*10</f>
        <v>2500</v>
      </c>
      <c r="G150" s="188">
        <f t="shared" si="9"/>
        <v>117.92</v>
      </c>
      <c r="H150" s="189">
        <f t="shared" si="9"/>
        <v>84.803256445047495</v>
      </c>
      <c r="I150" s="190">
        <f t="shared" si="10"/>
        <v>4.7168000000000001</v>
      </c>
      <c r="J150" s="191"/>
      <c r="K150" s="191"/>
      <c r="L150" s="191"/>
      <c r="M150" s="192"/>
      <c r="N150" s="191"/>
      <c r="O150" s="191"/>
    </row>
    <row r="151" spans="1:15">
      <c r="A151" s="138" t="s">
        <v>219</v>
      </c>
      <c r="B151" s="187" t="s">
        <v>1</v>
      </c>
      <c r="C151" s="173">
        <v>0</v>
      </c>
      <c r="D151" s="193">
        <v>0</v>
      </c>
      <c r="E151" s="194">
        <v>0</v>
      </c>
      <c r="F151" s="195">
        <v>0</v>
      </c>
      <c r="G151" s="188" t="e">
        <f t="shared" si="9"/>
        <v>#DIV/0!</v>
      </c>
      <c r="H151" s="189"/>
      <c r="I151" s="190"/>
      <c r="J151" s="191"/>
      <c r="K151" s="191"/>
      <c r="L151" s="191"/>
      <c r="M151" s="192"/>
      <c r="N151" s="191"/>
      <c r="O151" s="191"/>
    </row>
    <row r="152" spans="1:15">
      <c r="A152" s="181" t="s">
        <v>220</v>
      </c>
      <c r="B152" s="196" t="s">
        <v>0</v>
      </c>
      <c r="C152" s="197">
        <v>57.179808266040816</v>
      </c>
      <c r="D152" s="198">
        <v>9.857772645787751</v>
      </c>
      <c r="E152" s="198">
        <v>9.857772645787751</v>
      </c>
      <c r="F152" s="198">
        <f>(F137+F107)/'[3]01_TKKK'!$D$10</f>
        <v>0.39556324966626505</v>
      </c>
      <c r="G152" s="199">
        <f t="shared" si="9"/>
        <v>100</v>
      </c>
      <c r="H152" s="200">
        <f t="shared" si="9"/>
        <v>4.0127041257670939</v>
      </c>
      <c r="I152" s="201">
        <f t="shared" si="10"/>
        <v>1014.4279401973248</v>
      </c>
      <c r="J152" s="191"/>
      <c r="K152" s="191"/>
      <c r="L152" s="191"/>
      <c r="M152" s="192"/>
      <c r="N152" s="191"/>
      <c r="O152" s="191"/>
    </row>
    <row r="153" spans="1:15">
      <c r="A153" s="202" t="s">
        <v>221</v>
      </c>
      <c r="B153" s="196" t="s">
        <v>0</v>
      </c>
      <c r="C153" s="197">
        <v>56.718796160985825</v>
      </c>
      <c r="D153" s="198">
        <v>9.8507715845700741</v>
      </c>
      <c r="E153" s="198">
        <v>9.8507715845700741</v>
      </c>
      <c r="F153" s="198">
        <f>F137/'[3]01_TKKK'!$D$10</f>
        <v>0.39533974866354377</v>
      </c>
      <c r="G153" s="199">
        <f>F153</f>
        <v>0.39533974866354377</v>
      </c>
      <c r="H153" s="200">
        <f t="shared" si="9"/>
        <v>4.0132871346117804</v>
      </c>
      <c r="I153" s="201">
        <f>G153/D153%</f>
        <v>4.0132871346117804</v>
      </c>
      <c r="J153" s="191"/>
      <c r="K153" s="191"/>
      <c r="L153" s="191"/>
      <c r="M153" s="192"/>
      <c r="N153" s="191"/>
      <c r="O153" s="191"/>
    </row>
    <row r="154" spans="1:15">
      <c r="A154" s="123" t="s">
        <v>222</v>
      </c>
      <c r="B154" s="203"/>
      <c r="C154" s="173"/>
      <c r="D154" s="193"/>
      <c r="E154" s="149"/>
      <c r="F154" s="204"/>
      <c r="G154" s="188" t="e">
        <f t="shared" si="9"/>
        <v>#DIV/0!</v>
      </c>
      <c r="H154" s="189"/>
      <c r="I154" s="190"/>
      <c r="J154" s="191"/>
      <c r="K154" s="191"/>
      <c r="L154" s="191"/>
      <c r="M154" s="192"/>
      <c r="N154" s="191"/>
      <c r="O154" s="191"/>
    </row>
    <row r="155" spans="1:15">
      <c r="A155" s="177" t="s">
        <v>223</v>
      </c>
      <c r="B155" s="203" t="s">
        <v>54</v>
      </c>
      <c r="C155" s="161">
        <v>665</v>
      </c>
      <c r="D155" s="193">
        <v>46.86</v>
      </c>
      <c r="E155" s="193">
        <v>46.86</v>
      </c>
      <c r="F155" s="205">
        <f>F156+F157</f>
        <v>47.223652500000007</v>
      </c>
      <c r="G155" s="188">
        <f t="shared" si="9"/>
        <v>100</v>
      </c>
      <c r="H155" s="189">
        <f t="shared" si="9"/>
        <v>100.77604033290655</v>
      </c>
      <c r="I155" s="190">
        <f t="shared" si="10"/>
        <v>213.40162185232606</v>
      </c>
      <c r="J155" s="191"/>
      <c r="K155" s="191"/>
      <c r="L155" s="191"/>
      <c r="M155" s="192"/>
      <c r="N155" s="191"/>
      <c r="O155" s="191"/>
    </row>
    <row r="156" spans="1:15">
      <c r="A156" s="176" t="s">
        <v>224</v>
      </c>
      <c r="B156" s="187" t="s">
        <v>54</v>
      </c>
      <c r="C156" s="140">
        <v>530</v>
      </c>
      <c r="D156" s="193">
        <v>36.865000000000002</v>
      </c>
      <c r="E156" s="193">
        <v>36.865000000000002</v>
      </c>
      <c r="F156" s="148">
        <f>E156*101%</f>
        <v>37.233650000000004</v>
      </c>
      <c r="G156" s="188">
        <f t="shared" si="9"/>
        <v>100</v>
      </c>
      <c r="H156" s="189">
        <f t="shared" si="9"/>
        <v>101</v>
      </c>
      <c r="I156" s="190">
        <f t="shared" si="10"/>
        <v>271.2600027126</v>
      </c>
      <c r="J156" s="191"/>
      <c r="K156" s="191"/>
      <c r="L156" s="191"/>
      <c r="M156" s="192"/>
      <c r="N156" s="191"/>
      <c r="O156" s="191"/>
    </row>
    <row r="157" spans="1:15">
      <c r="A157" s="176" t="s">
        <v>225</v>
      </c>
      <c r="B157" s="187"/>
      <c r="C157" s="140">
        <v>135</v>
      </c>
      <c r="D157" s="193">
        <v>9.995000000000001</v>
      </c>
      <c r="E157" s="193">
        <v>9.995000000000001</v>
      </c>
      <c r="F157" s="148">
        <f>E157*99.95%</f>
        <v>9.990002500000001</v>
      </c>
      <c r="G157" s="188">
        <f t="shared" si="9"/>
        <v>100</v>
      </c>
      <c r="H157" s="189">
        <f t="shared" si="9"/>
        <v>99.95</v>
      </c>
      <c r="I157" s="190">
        <f t="shared" si="10"/>
        <v>1000.5002501250624</v>
      </c>
      <c r="J157" s="191"/>
      <c r="K157" s="191"/>
      <c r="L157" s="191"/>
      <c r="M157" s="192"/>
      <c r="N157" s="191"/>
      <c r="O157" s="191"/>
    </row>
    <row r="158" spans="1:15">
      <c r="A158" s="177" t="s">
        <v>226</v>
      </c>
      <c r="B158" s="203" t="s">
        <v>148</v>
      </c>
      <c r="C158" s="206">
        <v>350</v>
      </c>
      <c r="D158" s="193">
        <v>24.7</v>
      </c>
      <c r="E158" s="193">
        <v>24.7</v>
      </c>
      <c r="F158" s="193">
        <v>24.7</v>
      </c>
      <c r="G158" s="188">
        <f t="shared" si="9"/>
        <v>100</v>
      </c>
      <c r="H158" s="189"/>
      <c r="I158" s="190"/>
      <c r="J158" s="191"/>
      <c r="K158" s="191"/>
      <c r="L158" s="191"/>
      <c r="M158" s="192"/>
      <c r="N158" s="191"/>
      <c r="O158" s="191"/>
    </row>
    <row r="159" spans="1:15">
      <c r="A159" s="123" t="s">
        <v>227</v>
      </c>
      <c r="B159" s="187"/>
      <c r="C159" s="207"/>
      <c r="D159" s="193"/>
      <c r="E159" s="149"/>
      <c r="F159" s="208"/>
      <c r="G159" s="188" t="e">
        <f t="shared" si="9"/>
        <v>#DIV/0!</v>
      </c>
      <c r="H159" s="189"/>
      <c r="I159" s="190"/>
      <c r="J159" s="191"/>
      <c r="K159" s="191"/>
      <c r="L159" s="191"/>
      <c r="M159" s="192"/>
      <c r="N159" s="191"/>
      <c r="O159" s="191"/>
    </row>
    <row r="160" spans="1:15" ht="26.4">
      <c r="A160" s="209" t="s">
        <v>228</v>
      </c>
      <c r="B160" s="196" t="s">
        <v>229</v>
      </c>
      <c r="C160" s="210">
        <v>13</v>
      </c>
      <c r="D160" s="211"/>
      <c r="E160" s="212"/>
      <c r="F160" s="213"/>
      <c r="G160" s="199"/>
      <c r="H160" s="200"/>
      <c r="I160" s="201" t="e">
        <f t="shared" si="10"/>
        <v>#DIV/0!</v>
      </c>
      <c r="J160" s="191"/>
      <c r="K160" s="191"/>
      <c r="L160" s="191"/>
      <c r="M160" s="192"/>
      <c r="N160" s="191"/>
      <c r="O160" s="191"/>
    </row>
    <row r="161" spans="1:23" ht="26.4">
      <c r="A161" s="146" t="s">
        <v>230</v>
      </c>
      <c r="B161" s="187" t="s">
        <v>231</v>
      </c>
      <c r="C161" s="214"/>
      <c r="D161" s="193"/>
      <c r="E161" s="149"/>
      <c r="F161" s="215"/>
      <c r="G161" s="188" t="e">
        <f t="shared" si="9"/>
        <v>#DIV/0!</v>
      </c>
      <c r="H161" s="189"/>
      <c r="I161" s="190"/>
      <c r="J161" s="191"/>
      <c r="K161" s="191"/>
      <c r="L161" s="191"/>
      <c r="M161" s="192"/>
      <c r="N161" s="191"/>
      <c r="O161" s="191"/>
    </row>
    <row r="162" spans="1:23">
      <c r="A162" s="146" t="s">
        <v>232</v>
      </c>
      <c r="B162" s="187" t="s">
        <v>19</v>
      </c>
      <c r="C162" s="216">
        <v>18014</v>
      </c>
      <c r="D162" s="149">
        <v>2286.8200000000002</v>
      </c>
      <c r="E162" s="149">
        <v>2286.8200000000002</v>
      </c>
      <c r="F162" s="149">
        <v>2286.8200000000002</v>
      </c>
      <c r="G162" s="188">
        <f t="shared" si="9"/>
        <v>100</v>
      </c>
      <c r="H162" s="189"/>
      <c r="I162" s="190"/>
      <c r="J162" s="191"/>
      <c r="K162" s="191"/>
      <c r="L162" s="191"/>
      <c r="M162" s="192"/>
      <c r="N162" s="191"/>
      <c r="O162" s="191"/>
    </row>
    <row r="163" spans="1:23">
      <c r="A163" s="138" t="s">
        <v>233</v>
      </c>
      <c r="B163" s="187" t="s">
        <v>0</v>
      </c>
      <c r="C163" s="214">
        <v>80</v>
      </c>
      <c r="D163" s="215">
        <v>0.69783948733597811</v>
      </c>
      <c r="E163" s="215">
        <v>0.69783948733597811</v>
      </c>
      <c r="F163" s="215">
        <v>0.69783948733597811</v>
      </c>
      <c r="G163" s="188">
        <f t="shared" si="9"/>
        <v>100</v>
      </c>
      <c r="H163" s="189"/>
      <c r="I163" s="190"/>
      <c r="J163" s="191"/>
      <c r="K163" s="191"/>
      <c r="L163" s="191"/>
      <c r="M163" s="192"/>
      <c r="N163" s="191"/>
      <c r="O163" s="191"/>
    </row>
    <row r="164" spans="1:23" ht="26.4">
      <c r="A164" s="146" t="s">
        <v>234</v>
      </c>
      <c r="B164" s="217" t="s">
        <v>0</v>
      </c>
      <c r="C164" s="218"/>
      <c r="D164" s="193"/>
      <c r="E164" s="149"/>
      <c r="F164" s="219"/>
      <c r="G164" s="188" t="e">
        <f t="shared" si="9"/>
        <v>#DIV/0!</v>
      </c>
      <c r="H164" s="189"/>
      <c r="I164" s="190"/>
      <c r="J164" s="191"/>
      <c r="K164" s="191"/>
      <c r="L164" s="191"/>
      <c r="M164" s="192"/>
      <c r="N164" s="191"/>
      <c r="O164" s="191"/>
    </row>
    <row r="165" spans="1:23">
      <c r="A165" s="209" t="s">
        <v>235</v>
      </c>
      <c r="B165" s="220"/>
      <c r="C165" s="221">
        <v>88.5</v>
      </c>
      <c r="D165" s="211">
        <v>88.6</v>
      </c>
      <c r="E165" s="222">
        <v>88.6</v>
      </c>
      <c r="F165" s="222">
        <f>F167</f>
        <v>50.37</v>
      </c>
      <c r="G165" s="199">
        <f t="shared" si="9"/>
        <v>100</v>
      </c>
      <c r="H165" s="200">
        <f t="shared" si="9"/>
        <v>56.851015801354407</v>
      </c>
      <c r="I165" s="201">
        <f t="shared" si="10"/>
        <v>112.86681715575622</v>
      </c>
      <c r="J165" s="191"/>
      <c r="K165" s="191"/>
      <c r="L165" s="191"/>
      <c r="M165" s="192"/>
      <c r="N165" s="191"/>
      <c r="O165" s="191"/>
    </row>
    <row r="166" spans="1:23">
      <c r="A166" s="209" t="s">
        <v>236</v>
      </c>
      <c r="B166" s="196" t="s">
        <v>0</v>
      </c>
      <c r="C166" s="221">
        <v>98.1</v>
      </c>
      <c r="D166" s="211">
        <v>98</v>
      </c>
      <c r="E166" s="222"/>
      <c r="F166" s="222"/>
      <c r="G166" s="199">
        <f t="shared" si="9"/>
        <v>0</v>
      </c>
      <c r="H166" s="200" t="e">
        <f t="shared" si="9"/>
        <v>#DIV/0!</v>
      </c>
      <c r="I166" s="201">
        <f t="shared" si="10"/>
        <v>0</v>
      </c>
      <c r="J166" s="191"/>
      <c r="K166" s="191"/>
      <c r="L166" s="191"/>
      <c r="M166" s="192"/>
      <c r="N166" s="191"/>
      <c r="O166" s="191"/>
    </row>
    <row r="167" spans="1:23">
      <c r="A167" s="223" t="s">
        <v>237</v>
      </c>
      <c r="B167" s="196" t="s">
        <v>0</v>
      </c>
      <c r="C167" s="224">
        <v>88</v>
      </c>
      <c r="D167" s="211">
        <v>50.37</v>
      </c>
      <c r="E167" s="211">
        <v>50.37</v>
      </c>
      <c r="F167" s="211">
        <v>50.37</v>
      </c>
      <c r="G167" s="199">
        <f t="shared" si="9"/>
        <v>100.00000000000001</v>
      </c>
      <c r="H167" s="200">
        <f t="shared" si="9"/>
        <v>100.00000000000001</v>
      </c>
      <c r="I167" s="201">
        <f t="shared" si="10"/>
        <v>198.53087155052617</v>
      </c>
      <c r="J167" s="191"/>
      <c r="K167" s="191"/>
      <c r="L167" s="191"/>
      <c r="M167" s="192"/>
      <c r="N167" s="191"/>
      <c r="O167" s="191"/>
    </row>
    <row r="168" spans="1:23" s="226" customFormat="1">
      <c r="A168" s="225" t="s">
        <v>238</v>
      </c>
      <c r="B168" s="196" t="s">
        <v>239</v>
      </c>
      <c r="C168" s="221">
        <v>19000</v>
      </c>
      <c r="D168" s="211"/>
      <c r="E168" s="212">
        <v>19000</v>
      </c>
      <c r="F168" s="222"/>
      <c r="G168" s="199"/>
      <c r="H168" s="200"/>
      <c r="I168" s="201"/>
      <c r="J168" s="191"/>
      <c r="K168" s="191"/>
      <c r="L168" s="191"/>
      <c r="M168" s="192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</row>
    <row r="169" spans="1:23">
      <c r="A169" s="209" t="s">
        <v>240</v>
      </c>
      <c r="B169" s="196" t="s">
        <v>98</v>
      </c>
      <c r="C169" s="221">
        <v>2</v>
      </c>
      <c r="D169" s="211">
        <v>1</v>
      </c>
      <c r="E169" s="212">
        <v>1</v>
      </c>
      <c r="F169" s="222">
        <v>1</v>
      </c>
      <c r="G169" s="199">
        <f t="shared" si="9"/>
        <v>100</v>
      </c>
      <c r="H169" s="200"/>
      <c r="I169" s="201"/>
      <c r="J169" s="191"/>
      <c r="K169" s="191"/>
      <c r="L169" s="191"/>
      <c r="M169" s="192"/>
      <c r="N169" s="191"/>
      <c r="O169" s="191"/>
    </row>
    <row r="170" spans="1:23" ht="26.4">
      <c r="A170" s="146" t="s">
        <v>241</v>
      </c>
      <c r="B170" s="187" t="s">
        <v>231</v>
      </c>
      <c r="C170" s="185">
        <v>153.30000000000001</v>
      </c>
      <c r="D170" s="227">
        <v>171.09</v>
      </c>
      <c r="E170" s="228">
        <v>19.651</v>
      </c>
      <c r="F170" s="228">
        <v>19.651</v>
      </c>
      <c r="G170" s="188">
        <f t="shared" si="9"/>
        <v>11.485767724589397</v>
      </c>
      <c r="H170" s="189">
        <f>F170/E170%</f>
        <v>100</v>
      </c>
      <c r="I170" s="190">
        <f t="shared" si="10"/>
        <v>6.7132899202696805</v>
      </c>
      <c r="J170" s="191"/>
      <c r="K170" s="191"/>
      <c r="L170" s="191"/>
      <c r="M170" s="192"/>
      <c r="N170" s="191"/>
      <c r="O170" s="191"/>
    </row>
    <row r="171" spans="1:23" ht="18" customHeight="1">
      <c r="A171" s="146" t="s">
        <v>242</v>
      </c>
      <c r="B171" s="187" t="s">
        <v>0</v>
      </c>
      <c r="C171" s="185">
        <v>63.48</v>
      </c>
      <c r="D171" s="227">
        <v>64.459999999999994</v>
      </c>
      <c r="E171" s="228">
        <v>0.76234627768941299</v>
      </c>
      <c r="F171" s="228">
        <v>0.76234627768941299</v>
      </c>
      <c r="G171" s="188">
        <f t="shared" si="9"/>
        <v>1.1826656495336845</v>
      </c>
      <c r="H171" s="189">
        <f t="shared" si="9"/>
        <v>100</v>
      </c>
      <c r="I171" s="190">
        <f t="shared" si="10"/>
        <v>1.8347279701112078</v>
      </c>
      <c r="J171" s="191"/>
      <c r="K171" s="191"/>
      <c r="L171" s="191"/>
      <c r="M171" s="192"/>
      <c r="N171" s="191"/>
      <c r="O171" s="191"/>
    </row>
    <row r="172" spans="1:23">
      <c r="A172" s="229"/>
      <c r="B172" s="230"/>
      <c r="C172" s="231"/>
      <c r="D172" s="232"/>
      <c r="E172" s="232"/>
      <c r="F172" s="232"/>
      <c r="G172" s="233"/>
      <c r="H172" s="234"/>
      <c r="I172" s="235"/>
      <c r="J172" s="191"/>
      <c r="K172" s="191"/>
      <c r="L172" s="191"/>
      <c r="M172" s="192"/>
      <c r="N172" s="191"/>
      <c r="O172" s="191"/>
    </row>
    <row r="173" spans="1:23">
      <c r="E173" s="239"/>
      <c r="F173" s="240"/>
      <c r="G173" s="191"/>
      <c r="H173" s="241"/>
      <c r="I173" s="242"/>
    </row>
    <row r="174" spans="1:23">
      <c r="E174" s="243"/>
      <c r="F174" s="244"/>
      <c r="G174" s="191"/>
      <c r="H174" s="191"/>
    </row>
    <row r="175" spans="1:23">
      <c r="E175" s="243"/>
      <c r="F175" s="244"/>
      <c r="G175" s="191"/>
      <c r="H175" s="191"/>
    </row>
  </sheetData>
  <mergeCells count="7">
    <mergeCell ref="A3:A4"/>
    <mergeCell ref="B3:B4"/>
    <mergeCell ref="A1:I1"/>
    <mergeCell ref="A2:I2"/>
    <mergeCell ref="C3:D3"/>
    <mergeCell ref="E3:G3"/>
    <mergeCell ref="H3:I3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87"/>
  <sheetViews>
    <sheetView topLeftCell="A66" workbookViewId="0">
      <selection activeCell="P3" sqref="P3"/>
    </sheetView>
  </sheetViews>
  <sheetFormatPr defaultRowHeight="18"/>
  <cols>
    <col min="1" max="1" width="2.921875" style="93" customWidth="1"/>
    <col min="2" max="2" width="23.61328125" style="42" customWidth="1"/>
    <col min="3" max="3" width="5.921875" style="11" customWidth="1"/>
    <col min="4" max="4" width="7.4609375" style="11" customWidth="1"/>
    <col min="5" max="5" width="7.23046875" style="12" customWidth="1"/>
    <col min="6" max="6" width="6.921875" style="12" customWidth="1"/>
    <col min="7" max="7" width="6.921875" style="13" customWidth="1"/>
    <col min="8" max="8" width="6.69140625" style="13" customWidth="1"/>
    <col min="9" max="9" width="7" style="8" hidden="1" customWidth="1"/>
    <col min="10" max="10" width="7.07421875" style="8" customWidth="1"/>
    <col min="11" max="11" width="6.4609375" style="8" customWidth="1"/>
    <col min="12" max="12" width="5.61328125" style="8" customWidth="1"/>
    <col min="13" max="13" width="7.3828125" style="8" hidden="1" customWidth="1"/>
    <col min="14" max="15" width="8.765625" style="12"/>
    <col min="16" max="16" width="11.765625" style="12" customWidth="1"/>
    <col min="17" max="17" width="8.765625" style="12"/>
    <col min="18" max="18" width="10.921875" style="12" customWidth="1"/>
    <col min="19" max="256" width="8.765625" style="12"/>
    <col min="257" max="257" width="2.921875" style="12" customWidth="1"/>
    <col min="258" max="258" width="23.61328125" style="12" customWidth="1"/>
    <col min="259" max="259" width="5.921875" style="12" customWidth="1"/>
    <col min="260" max="260" width="7.4609375" style="12" customWidth="1"/>
    <col min="261" max="261" width="7.23046875" style="12" customWidth="1"/>
    <col min="262" max="263" width="6.921875" style="12" customWidth="1"/>
    <col min="264" max="264" width="6.69140625" style="12" customWidth="1"/>
    <col min="265" max="265" width="0" style="12" hidden="1" customWidth="1"/>
    <col min="266" max="266" width="7.07421875" style="12" customWidth="1"/>
    <col min="267" max="267" width="6.4609375" style="12" customWidth="1"/>
    <col min="268" max="268" width="5.61328125" style="12" customWidth="1"/>
    <col min="269" max="269" width="0" style="12" hidden="1" customWidth="1"/>
    <col min="270" max="271" width="8.765625" style="12"/>
    <col min="272" max="272" width="11.765625" style="12" customWidth="1"/>
    <col min="273" max="512" width="8.765625" style="12"/>
    <col min="513" max="513" width="2.921875" style="12" customWidth="1"/>
    <col min="514" max="514" width="23.61328125" style="12" customWidth="1"/>
    <col min="515" max="515" width="5.921875" style="12" customWidth="1"/>
    <col min="516" max="516" width="7.4609375" style="12" customWidth="1"/>
    <col min="517" max="517" width="7.23046875" style="12" customWidth="1"/>
    <col min="518" max="519" width="6.921875" style="12" customWidth="1"/>
    <col min="520" max="520" width="6.69140625" style="12" customWidth="1"/>
    <col min="521" max="521" width="0" style="12" hidden="1" customWidth="1"/>
    <col min="522" max="522" width="7.07421875" style="12" customWidth="1"/>
    <col min="523" max="523" width="6.4609375" style="12" customWidth="1"/>
    <col min="524" max="524" width="5.61328125" style="12" customWidth="1"/>
    <col min="525" max="525" width="0" style="12" hidden="1" customWidth="1"/>
    <col min="526" max="527" width="8.765625" style="12"/>
    <col min="528" max="528" width="11.765625" style="12" customWidth="1"/>
    <col min="529" max="768" width="8.765625" style="12"/>
    <col min="769" max="769" width="2.921875" style="12" customWidth="1"/>
    <col min="770" max="770" width="23.61328125" style="12" customWidth="1"/>
    <col min="771" max="771" width="5.921875" style="12" customWidth="1"/>
    <col min="772" max="772" width="7.4609375" style="12" customWidth="1"/>
    <col min="773" max="773" width="7.23046875" style="12" customWidth="1"/>
    <col min="774" max="775" width="6.921875" style="12" customWidth="1"/>
    <col min="776" max="776" width="6.69140625" style="12" customWidth="1"/>
    <col min="777" max="777" width="0" style="12" hidden="1" customWidth="1"/>
    <col min="778" max="778" width="7.07421875" style="12" customWidth="1"/>
    <col min="779" max="779" width="6.4609375" style="12" customWidth="1"/>
    <col min="780" max="780" width="5.61328125" style="12" customWidth="1"/>
    <col min="781" max="781" width="0" style="12" hidden="1" customWidth="1"/>
    <col min="782" max="783" width="8.765625" style="12"/>
    <col min="784" max="784" width="11.765625" style="12" customWidth="1"/>
    <col min="785" max="1024" width="8.765625" style="12"/>
    <col min="1025" max="1025" width="2.921875" style="12" customWidth="1"/>
    <col min="1026" max="1026" width="23.61328125" style="12" customWidth="1"/>
    <col min="1027" max="1027" width="5.921875" style="12" customWidth="1"/>
    <col min="1028" max="1028" width="7.4609375" style="12" customWidth="1"/>
    <col min="1029" max="1029" width="7.23046875" style="12" customWidth="1"/>
    <col min="1030" max="1031" width="6.921875" style="12" customWidth="1"/>
    <col min="1032" max="1032" width="6.69140625" style="12" customWidth="1"/>
    <col min="1033" max="1033" width="0" style="12" hidden="1" customWidth="1"/>
    <col min="1034" max="1034" width="7.07421875" style="12" customWidth="1"/>
    <col min="1035" max="1035" width="6.4609375" style="12" customWidth="1"/>
    <col min="1036" max="1036" width="5.61328125" style="12" customWidth="1"/>
    <col min="1037" max="1037" width="0" style="12" hidden="1" customWidth="1"/>
    <col min="1038" max="1039" width="8.765625" style="12"/>
    <col min="1040" max="1040" width="11.765625" style="12" customWidth="1"/>
    <col min="1041" max="1280" width="8.765625" style="12"/>
    <col min="1281" max="1281" width="2.921875" style="12" customWidth="1"/>
    <col min="1282" max="1282" width="23.61328125" style="12" customWidth="1"/>
    <col min="1283" max="1283" width="5.921875" style="12" customWidth="1"/>
    <col min="1284" max="1284" width="7.4609375" style="12" customWidth="1"/>
    <col min="1285" max="1285" width="7.23046875" style="12" customWidth="1"/>
    <col min="1286" max="1287" width="6.921875" style="12" customWidth="1"/>
    <col min="1288" max="1288" width="6.69140625" style="12" customWidth="1"/>
    <col min="1289" max="1289" width="0" style="12" hidden="1" customWidth="1"/>
    <col min="1290" max="1290" width="7.07421875" style="12" customWidth="1"/>
    <col min="1291" max="1291" width="6.4609375" style="12" customWidth="1"/>
    <col min="1292" max="1292" width="5.61328125" style="12" customWidth="1"/>
    <col min="1293" max="1293" width="0" style="12" hidden="1" customWidth="1"/>
    <col min="1294" max="1295" width="8.765625" style="12"/>
    <col min="1296" max="1296" width="11.765625" style="12" customWidth="1"/>
    <col min="1297" max="1536" width="8.765625" style="12"/>
    <col min="1537" max="1537" width="2.921875" style="12" customWidth="1"/>
    <col min="1538" max="1538" width="23.61328125" style="12" customWidth="1"/>
    <col min="1539" max="1539" width="5.921875" style="12" customWidth="1"/>
    <col min="1540" max="1540" width="7.4609375" style="12" customWidth="1"/>
    <col min="1541" max="1541" width="7.23046875" style="12" customWidth="1"/>
    <col min="1542" max="1543" width="6.921875" style="12" customWidth="1"/>
    <col min="1544" max="1544" width="6.69140625" style="12" customWidth="1"/>
    <col min="1545" max="1545" width="0" style="12" hidden="1" customWidth="1"/>
    <col min="1546" max="1546" width="7.07421875" style="12" customWidth="1"/>
    <col min="1547" max="1547" width="6.4609375" style="12" customWidth="1"/>
    <col min="1548" max="1548" width="5.61328125" style="12" customWidth="1"/>
    <col min="1549" max="1549" width="0" style="12" hidden="1" customWidth="1"/>
    <col min="1550" max="1551" width="8.765625" style="12"/>
    <col min="1552" max="1552" width="11.765625" style="12" customWidth="1"/>
    <col min="1553" max="1792" width="8.765625" style="12"/>
    <col min="1793" max="1793" width="2.921875" style="12" customWidth="1"/>
    <col min="1794" max="1794" width="23.61328125" style="12" customWidth="1"/>
    <col min="1795" max="1795" width="5.921875" style="12" customWidth="1"/>
    <col min="1796" max="1796" width="7.4609375" style="12" customWidth="1"/>
    <col min="1797" max="1797" width="7.23046875" style="12" customWidth="1"/>
    <col min="1798" max="1799" width="6.921875" style="12" customWidth="1"/>
    <col min="1800" max="1800" width="6.69140625" style="12" customWidth="1"/>
    <col min="1801" max="1801" width="0" style="12" hidden="1" customWidth="1"/>
    <col min="1802" max="1802" width="7.07421875" style="12" customWidth="1"/>
    <col min="1803" max="1803" width="6.4609375" style="12" customWidth="1"/>
    <col min="1804" max="1804" width="5.61328125" style="12" customWidth="1"/>
    <col min="1805" max="1805" width="0" style="12" hidden="1" customWidth="1"/>
    <col min="1806" max="1807" width="8.765625" style="12"/>
    <col min="1808" max="1808" width="11.765625" style="12" customWidth="1"/>
    <col min="1809" max="2048" width="8.765625" style="12"/>
    <col min="2049" max="2049" width="2.921875" style="12" customWidth="1"/>
    <col min="2050" max="2050" width="23.61328125" style="12" customWidth="1"/>
    <col min="2051" max="2051" width="5.921875" style="12" customWidth="1"/>
    <col min="2052" max="2052" width="7.4609375" style="12" customWidth="1"/>
    <col min="2053" max="2053" width="7.23046875" style="12" customWidth="1"/>
    <col min="2054" max="2055" width="6.921875" style="12" customWidth="1"/>
    <col min="2056" max="2056" width="6.69140625" style="12" customWidth="1"/>
    <col min="2057" max="2057" width="0" style="12" hidden="1" customWidth="1"/>
    <col min="2058" max="2058" width="7.07421875" style="12" customWidth="1"/>
    <col min="2059" max="2059" width="6.4609375" style="12" customWidth="1"/>
    <col min="2060" max="2060" width="5.61328125" style="12" customWidth="1"/>
    <col min="2061" max="2061" width="0" style="12" hidden="1" customWidth="1"/>
    <col min="2062" max="2063" width="8.765625" style="12"/>
    <col min="2064" max="2064" width="11.765625" style="12" customWidth="1"/>
    <col min="2065" max="2304" width="8.765625" style="12"/>
    <col min="2305" max="2305" width="2.921875" style="12" customWidth="1"/>
    <col min="2306" max="2306" width="23.61328125" style="12" customWidth="1"/>
    <col min="2307" max="2307" width="5.921875" style="12" customWidth="1"/>
    <col min="2308" max="2308" width="7.4609375" style="12" customWidth="1"/>
    <col min="2309" max="2309" width="7.23046875" style="12" customWidth="1"/>
    <col min="2310" max="2311" width="6.921875" style="12" customWidth="1"/>
    <col min="2312" max="2312" width="6.69140625" style="12" customWidth="1"/>
    <col min="2313" max="2313" width="0" style="12" hidden="1" customWidth="1"/>
    <col min="2314" max="2314" width="7.07421875" style="12" customWidth="1"/>
    <col min="2315" max="2315" width="6.4609375" style="12" customWidth="1"/>
    <col min="2316" max="2316" width="5.61328125" style="12" customWidth="1"/>
    <col min="2317" max="2317" width="0" style="12" hidden="1" customWidth="1"/>
    <col min="2318" max="2319" width="8.765625" style="12"/>
    <col min="2320" max="2320" width="11.765625" style="12" customWidth="1"/>
    <col min="2321" max="2560" width="8.765625" style="12"/>
    <col min="2561" max="2561" width="2.921875" style="12" customWidth="1"/>
    <col min="2562" max="2562" width="23.61328125" style="12" customWidth="1"/>
    <col min="2563" max="2563" width="5.921875" style="12" customWidth="1"/>
    <col min="2564" max="2564" width="7.4609375" style="12" customWidth="1"/>
    <col min="2565" max="2565" width="7.23046875" style="12" customWidth="1"/>
    <col min="2566" max="2567" width="6.921875" style="12" customWidth="1"/>
    <col min="2568" max="2568" width="6.69140625" style="12" customWidth="1"/>
    <col min="2569" max="2569" width="0" style="12" hidden="1" customWidth="1"/>
    <col min="2570" max="2570" width="7.07421875" style="12" customWidth="1"/>
    <col min="2571" max="2571" width="6.4609375" style="12" customWidth="1"/>
    <col min="2572" max="2572" width="5.61328125" style="12" customWidth="1"/>
    <col min="2573" max="2573" width="0" style="12" hidden="1" customWidth="1"/>
    <col min="2574" max="2575" width="8.765625" style="12"/>
    <col min="2576" max="2576" width="11.765625" style="12" customWidth="1"/>
    <col min="2577" max="2816" width="8.765625" style="12"/>
    <col min="2817" max="2817" width="2.921875" style="12" customWidth="1"/>
    <col min="2818" max="2818" width="23.61328125" style="12" customWidth="1"/>
    <col min="2819" max="2819" width="5.921875" style="12" customWidth="1"/>
    <col min="2820" max="2820" width="7.4609375" style="12" customWidth="1"/>
    <col min="2821" max="2821" width="7.23046875" style="12" customWidth="1"/>
    <col min="2822" max="2823" width="6.921875" style="12" customWidth="1"/>
    <col min="2824" max="2824" width="6.69140625" style="12" customWidth="1"/>
    <col min="2825" max="2825" width="0" style="12" hidden="1" customWidth="1"/>
    <col min="2826" max="2826" width="7.07421875" style="12" customWidth="1"/>
    <col min="2827" max="2827" width="6.4609375" style="12" customWidth="1"/>
    <col min="2828" max="2828" width="5.61328125" style="12" customWidth="1"/>
    <col min="2829" max="2829" width="0" style="12" hidden="1" customWidth="1"/>
    <col min="2830" max="2831" width="8.765625" style="12"/>
    <col min="2832" max="2832" width="11.765625" style="12" customWidth="1"/>
    <col min="2833" max="3072" width="8.765625" style="12"/>
    <col min="3073" max="3073" width="2.921875" style="12" customWidth="1"/>
    <col min="3074" max="3074" width="23.61328125" style="12" customWidth="1"/>
    <col min="3075" max="3075" width="5.921875" style="12" customWidth="1"/>
    <col min="3076" max="3076" width="7.4609375" style="12" customWidth="1"/>
    <col min="3077" max="3077" width="7.23046875" style="12" customWidth="1"/>
    <col min="3078" max="3079" width="6.921875" style="12" customWidth="1"/>
    <col min="3080" max="3080" width="6.69140625" style="12" customWidth="1"/>
    <col min="3081" max="3081" width="0" style="12" hidden="1" customWidth="1"/>
    <col min="3082" max="3082" width="7.07421875" style="12" customWidth="1"/>
    <col min="3083" max="3083" width="6.4609375" style="12" customWidth="1"/>
    <col min="3084" max="3084" width="5.61328125" style="12" customWidth="1"/>
    <col min="3085" max="3085" width="0" style="12" hidden="1" customWidth="1"/>
    <col min="3086" max="3087" width="8.765625" style="12"/>
    <col min="3088" max="3088" width="11.765625" style="12" customWidth="1"/>
    <col min="3089" max="3328" width="8.765625" style="12"/>
    <col min="3329" max="3329" width="2.921875" style="12" customWidth="1"/>
    <col min="3330" max="3330" width="23.61328125" style="12" customWidth="1"/>
    <col min="3331" max="3331" width="5.921875" style="12" customWidth="1"/>
    <col min="3332" max="3332" width="7.4609375" style="12" customWidth="1"/>
    <col min="3333" max="3333" width="7.23046875" style="12" customWidth="1"/>
    <col min="3334" max="3335" width="6.921875" style="12" customWidth="1"/>
    <col min="3336" max="3336" width="6.69140625" style="12" customWidth="1"/>
    <col min="3337" max="3337" width="0" style="12" hidden="1" customWidth="1"/>
    <col min="3338" max="3338" width="7.07421875" style="12" customWidth="1"/>
    <col min="3339" max="3339" width="6.4609375" style="12" customWidth="1"/>
    <col min="3340" max="3340" width="5.61328125" style="12" customWidth="1"/>
    <col min="3341" max="3341" width="0" style="12" hidden="1" customWidth="1"/>
    <col min="3342" max="3343" width="8.765625" style="12"/>
    <col min="3344" max="3344" width="11.765625" style="12" customWidth="1"/>
    <col min="3345" max="3584" width="8.765625" style="12"/>
    <col min="3585" max="3585" width="2.921875" style="12" customWidth="1"/>
    <col min="3586" max="3586" width="23.61328125" style="12" customWidth="1"/>
    <col min="3587" max="3587" width="5.921875" style="12" customWidth="1"/>
    <col min="3588" max="3588" width="7.4609375" style="12" customWidth="1"/>
    <col min="3589" max="3589" width="7.23046875" style="12" customWidth="1"/>
    <col min="3590" max="3591" width="6.921875" style="12" customWidth="1"/>
    <col min="3592" max="3592" width="6.69140625" style="12" customWidth="1"/>
    <col min="3593" max="3593" width="0" style="12" hidden="1" customWidth="1"/>
    <col min="3594" max="3594" width="7.07421875" style="12" customWidth="1"/>
    <col min="3595" max="3595" width="6.4609375" style="12" customWidth="1"/>
    <col min="3596" max="3596" width="5.61328125" style="12" customWidth="1"/>
    <col min="3597" max="3597" width="0" style="12" hidden="1" customWidth="1"/>
    <col min="3598" max="3599" width="8.765625" style="12"/>
    <col min="3600" max="3600" width="11.765625" style="12" customWidth="1"/>
    <col min="3601" max="3840" width="8.765625" style="12"/>
    <col min="3841" max="3841" width="2.921875" style="12" customWidth="1"/>
    <col min="3842" max="3842" width="23.61328125" style="12" customWidth="1"/>
    <col min="3843" max="3843" width="5.921875" style="12" customWidth="1"/>
    <col min="3844" max="3844" width="7.4609375" style="12" customWidth="1"/>
    <col min="3845" max="3845" width="7.23046875" style="12" customWidth="1"/>
    <col min="3846" max="3847" width="6.921875" style="12" customWidth="1"/>
    <col min="3848" max="3848" width="6.69140625" style="12" customWidth="1"/>
    <col min="3849" max="3849" width="0" style="12" hidden="1" customWidth="1"/>
    <col min="3850" max="3850" width="7.07421875" style="12" customWidth="1"/>
    <col min="3851" max="3851" width="6.4609375" style="12" customWidth="1"/>
    <col min="3852" max="3852" width="5.61328125" style="12" customWidth="1"/>
    <col min="3853" max="3853" width="0" style="12" hidden="1" customWidth="1"/>
    <col min="3854" max="3855" width="8.765625" style="12"/>
    <col min="3856" max="3856" width="11.765625" style="12" customWidth="1"/>
    <col min="3857" max="4096" width="8.765625" style="12"/>
    <col min="4097" max="4097" width="2.921875" style="12" customWidth="1"/>
    <col min="4098" max="4098" width="23.61328125" style="12" customWidth="1"/>
    <col min="4099" max="4099" width="5.921875" style="12" customWidth="1"/>
    <col min="4100" max="4100" width="7.4609375" style="12" customWidth="1"/>
    <col min="4101" max="4101" width="7.23046875" style="12" customWidth="1"/>
    <col min="4102" max="4103" width="6.921875" style="12" customWidth="1"/>
    <col min="4104" max="4104" width="6.69140625" style="12" customWidth="1"/>
    <col min="4105" max="4105" width="0" style="12" hidden="1" customWidth="1"/>
    <col min="4106" max="4106" width="7.07421875" style="12" customWidth="1"/>
    <col min="4107" max="4107" width="6.4609375" style="12" customWidth="1"/>
    <col min="4108" max="4108" width="5.61328125" style="12" customWidth="1"/>
    <col min="4109" max="4109" width="0" style="12" hidden="1" customWidth="1"/>
    <col min="4110" max="4111" width="8.765625" style="12"/>
    <col min="4112" max="4112" width="11.765625" style="12" customWidth="1"/>
    <col min="4113" max="4352" width="8.765625" style="12"/>
    <col min="4353" max="4353" width="2.921875" style="12" customWidth="1"/>
    <col min="4354" max="4354" width="23.61328125" style="12" customWidth="1"/>
    <col min="4355" max="4355" width="5.921875" style="12" customWidth="1"/>
    <col min="4356" max="4356" width="7.4609375" style="12" customWidth="1"/>
    <col min="4357" max="4357" width="7.23046875" style="12" customWidth="1"/>
    <col min="4358" max="4359" width="6.921875" style="12" customWidth="1"/>
    <col min="4360" max="4360" width="6.69140625" style="12" customWidth="1"/>
    <col min="4361" max="4361" width="0" style="12" hidden="1" customWidth="1"/>
    <col min="4362" max="4362" width="7.07421875" style="12" customWidth="1"/>
    <col min="4363" max="4363" width="6.4609375" style="12" customWidth="1"/>
    <col min="4364" max="4364" width="5.61328125" style="12" customWidth="1"/>
    <col min="4365" max="4365" width="0" style="12" hidden="1" customWidth="1"/>
    <col min="4366" max="4367" width="8.765625" style="12"/>
    <col min="4368" max="4368" width="11.765625" style="12" customWidth="1"/>
    <col min="4369" max="4608" width="8.765625" style="12"/>
    <col min="4609" max="4609" width="2.921875" style="12" customWidth="1"/>
    <col min="4610" max="4610" width="23.61328125" style="12" customWidth="1"/>
    <col min="4611" max="4611" width="5.921875" style="12" customWidth="1"/>
    <col min="4612" max="4612" width="7.4609375" style="12" customWidth="1"/>
    <col min="4613" max="4613" width="7.23046875" style="12" customWidth="1"/>
    <col min="4614" max="4615" width="6.921875" style="12" customWidth="1"/>
    <col min="4616" max="4616" width="6.69140625" style="12" customWidth="1"/>
    <col min="4617" max="4617" width="0" style="12" hidden="1" customWidth="1"/>
    <col min="4618" max="4618" width="7.07421875" style="12" customWidth="1"/>
    <col min="4619" max="4619" width="6.4609375" style="12" customWidth="1"/>
    <col min="4620" max="4620" width="5.61328125" style="12" customWidth="1"/>
    <col min="4621" max="4621" width="0" style="12" hidden="1" customWidth="1"/>
    <col min="4622" max="4623" width="8.765625" style="12"/>
    <col min="4624" max="4624" width="11.765625" style="12" customWidth="1"/>
    <col min="4625" max="4864" width="8.765625" style="12"/>
    <col min="4865" max="4865" width="2.921875" style="12" customWidth="1"/>
    <col min="4866" max="4866" width="23.61328125" style="12" customWidth="1"/>
    <col min="4867" max="4867" width="5.921875" style="12" customWidth="1"/>
    <col min="4868" max="4868" width="7.4609375" style="12" customWidth="1"/>
    <col min="4869" max="4869" width="7.23046875" style="12" customWidth="1"/>
    <col min="4870" max="4871" width="6.921875" style="12" customWidth="1"/>
    <col min="4872" max="4872" width="6.69140625" style="12" customWidth="1"/>
    <col min="4873" max="4873" width="0" style="12" hidden="1" customWidth="1"/>
    <col min="4874" max="4874" width="7.07421875" style="12" customWidth="1"/>
    <col min="4875" max="4875" width="6.4609375" style="12" customWidth="1"/>
    <col min="4876" max="4876" width="5.61328125" style="12" customWidth="1"/>
    <col min="4877" max="4877" width="0" style="12" hidden="1" customWidth="1"/>
    <col min="4878" max="4879" width="8.765625" style="12"/>
    <col min="4880" max="4880" width="11.765625" style="12" customWidth="1"/>
    <col min="4881" max="5120" width="8.765625" style="12"/>
    <col min="5121" max="5121" width="2.921875" style="12" customWidth="1"/>
    <col min="5122" max="5122" width="23.61328125" style="12" customWidth="1"/>
    <col min="5123" max="5123" width="5.921875" style="12" customWidth="1"/>
    <col min="5124" max="5124" width="7.4609375" style="12" customWidth="1"/>
    <col min="5125" max="5125" width="7.23046875" style="12" customWidth="1"/>
    <col min="5126" max="5127" width="6.921875" style="12" customWidth="1"/>
    <col min="5128" max="5128" width="6.69140625" style="12" customWidth="1"/>
    <col min="5129" max="5129" width="0" style="12" hidden="1" customWidth="1"/>
    <col min="5130" max="5130" width="7.07421875" style="12" customWidth="1"/>
    <col min="5131" max="5131" width="6.4609375" style="12" customWidth="1"/>
    <col min="5132" max="5132" width="5.61328125" style="12" customWidth="1"/>
    <col min="5133" max="5133" width="0" style="12" hidden="1" customWidth="1"/>
    <col min="5134" max="5135" width="8.765625" style="12"/>
    <col min="5136" max="5136" width="11.765625" style="12" customWidth="1"/>
    <col min="5137" max="5376" width="8.765625" style="12"/>
    <col min="5377" max="5377" width="2.921875" style="12" customWidth="1"/>
    <col min="5378" max="5378" width="23.61328125" style="12" customWidth="1"/>
    <col min="5379" max="5379" width="5.921875" style="12" customWidth="1"/>
    <col min="5380" max="5380" width="7.4609375" style="12" customWidth="1"/>
    <col min="5381" max="5381" width="7.23046875" style="12" customWidth="1"/>
    <col min="5382" max="5383" width="6.921875" style="12" customWidth="1"/>
    <col min="5384" max="5384" width="6.69140625" style="12" customWidth="1"/>
    <col min="5385" max="5385" width="0" style="12" hidden="1" customWidth="1"/>
    <col min="5386" max="5386" width="7.07421875" style="12" customWidth="1"/>
    <col min="5387" max="5387" width="6.4609375" style="12" customWidth="1"/>
    <col min="5388" max="5388" width="5.61328125" style="12" customWidth="1"/>
    <col min="5389" max="5389" width="0" style="12" hidden="1" customWidth="1"/>
    <col min="5390" max="5391" width="8.765625" style="12"/>
    <col min="5392" max="5392" width="11.765625" style="12" customWidth="1"/>
    <col min="5393" max="5632" width="8.765625" style="12"/>
    <col min="5633" max="5633" width="2.921875" style="12" customWidth="1"/>
    <col min="5634" max="5634" width="23.61328125" style="12" customWidth="1"/>
    <col min="5635" max="5635" width="5.921875" style="12" customWidth="1"/>
    <col min="5636" max="5636" width="7.4609375" style="12" customWidth="1"/>
    <col min="5637" max="5637" width="7.23046875" style="12" customWidth="1"/>
    <col min="5638" max="5639" width="6.921875" style="12" customWidth="1"/>
    <col min="5640" max="5640" width="6.69140625" style="12" customWidth="1"/>
    <col min="5641" max="5641" width="0" style="12" hidden="1" customWidth="1"/>
    <col min="5642" max="5642" width="7.07421875" style="12" customWidth="1"/>
    <col min="5643" max="5643" width="6.4609375" style="12" customWidth="1"/>
    <col min="5644" max="5644" width="5.61328125" style="12" customWidth="1"/>
    <col min="5645" max="5645" width="0" style="12" hidden="1" customWidth="1"/>
    <col min="5646" max="5647" width="8.765625" style="12"/>
    <col min="5648" max="5648" width="11.765625" style="12" customWidth="1"/>
    <col min="5649" max="5888" width="8.765625" style="12"/>
    <col min="5889" max="5889" width="2.921875" style="12" customWidth="1"/>
    <col min="5890" max="5890" width="23.61328125" style="12" customWidth="1"/>
    <col min="5891" max="5891" width="5.921875" style="12" customWidth="1"/>
    <col min="5892" max="5892" width="7.4609375" style="12" customWidth="1"/>
    <col min="5893" max="5893" width="7.23046875" style="12" customWidth="1"/>
    <col min="5894" max="5895" width="6.921875" style="12" customWidth="1"/>
    <col min="5896" max="5896" width="6.69140625" style="12" customWidth="1"/>
    <col min="5897" max="5897" width="0" style="12" hidden="1" customWidth="1"/>
    <col min="5898" max="5898" width="7.07421875" style="12" customWidth="1"/>
    <col min="5899" max="5899" width="6.4609375" style="12" customWidth="1"/>
    <col min="5900" max="5900" width="5.61328125" style="12" customWidth="1"/>
    <col min="5901" max="5901" width="0" style="12" hidden="1" customWidth="1"/>
    <col min="5902" max="5903" width="8.765625" style="12"/>
    <col min="5904" max="5904" width="11.765625" style="12" customWidth="1"/>
    <col min="5905" max="6144" width="8.765625" style="12"/>
    <col min="6145" max="6145" width="2.921875" style="12" customWidth="1"/>
    <col min="6146" max="6146" width="23.61328125" style="12" customWidth="1"/>
    <col min="6147" max="6147" width="5.921875" style="12" customWidth="1"/>
    <col min="6148" max="6148" width="7.4609375" style="12" customWidth="1"/>
    <col min="6149" max="6149" width="7.23046875" style="12" customWidth="1"/>
    <col min="6150" max="6151" width="6.921875" style="12" customWidth="1"/>
    <col min="6152" max="6152" width="6.69140625" style="12" customWidth="1"/>
    <col min="6153" max="6153" width="0" style="12" hidden="1" customWidth="1"/>
    <col min="6154" max="6154" width="7.07421875" style="12" customWidth="1"/>
    <col min="6155" max="6155" width="6.4609375" style="12" customWidth="1"/>
    <col min="6156" max="6156" width="5.61328125" style="12" customWidth="1"/>
    <col min="6157" max="6157" width="0" style="12" hidden="1" customWidth="1"/>
    <col min="6158" max="6159" width="8.765625" style="12"/>
    <col min="6160" max="6160" width="11.765625" style="12" customWidth="1"/>
    <col min="6161" max="6400" width="8.765625" style="12"/>
    <col min="6401" max="6401" width="2.921875" style="12" customWidth="1"/>
    <col min="6402" max="6402" width="23.61328125" style="12" customWidth="1"/>
    <col min="6403" max="6403" width="5.921875" style="12" customWidth="1"/>
    <col min="6404" max="6404" width="7.4609375" style="12" customWidth="1"/>
    <col min="6405" max="6405" width="7.23046875" style="12" customWidth="1"/>
    <col min="6406" max="6407" width="6.921875" style="12" customWidth="1"/>
    <col min="6408" max="6408" width="6.69140625" style="12" customWidth="1"/>
    <col min="6409" max="6409" width="0" style="12" hidden="1" customWidth="1"/>
    <col min="6410" max="6410" width="7.07421875" style="12" customWidth="1"/>
    <col min="6411" max="6411" width="6.4609375" style="12" customWidth="1"/>
    <col min="6412" max="6412" width="5.61328125" style="12" customWidth="1"/>
    <col min="6413" max="6413" width="0" style="12" hidden="1" customWidth="1"/>
    <col min="6414" max="6415" width="8.765625" style="12"/>
    <col min="6416" max="6416" width="11.765625" style="12" customWidth="1"/>
    <col min="6417" max="6656" width="8.765625" style="12"/>
    <col min="6657" max="6657" width="2.921875" style="12" customWidth="1"/>
    <col min="6658" max="6658" width="23.61328125" style="12" customWidth="1"/>
    <col min="6659" max="6659" width="5.921875" style="12" customWidth="1"/>
    <col min="6660" max="6660" width="7.4609375" style="12" customWidth="1"/>
    <col min="6661" max="6661" width="7.23046875" style="12" customWidth="1"/>
    <col min="6662" max="6663" width="6.921875" style="12" customWidth="1"/>
    <col min="6664" max="6664" width="6.69140625" style="12" customWidth="1"/>
    <col min="6665" max="6665" width="0" style="12" hidden="1" customWidth="1"/>
    <col min="6666" max="6666" width="7.07421875" style="12" customWidth="1"/>
    <col min="6667" max="6667" width="6.4609375" style="12" customWidth="1"/>
    <col min="6668" max="6668" width="5.61328125" style="12" customWidth="1"/>
    <col min="6669" max="6669" width="0" style="12" hidden="1" customWidth="1"/>
    <col min="6670" max="6671" width="8.765625" style="12"/>
    <col min="6672" max="6672" width="11.765625" style="12" customWidth="1"/>
    <col min="6673" max="6912" width="8.765625" style="12"/>
    <col min="6913" max="6913" width="2.921875" style="12" customWidth="1"/>
    <col min="6914" max="6914" width="23.61328125" style="12" customWidth="1"/>
    <col min="6915" max="6915" width="5.921875" style="12" customWidth="1"/>
    <col min="6916" max="6916" width="7.4609375" style="12" customWidth="1"/>
    <col min="6917" max="6917" width="7.23046875" style="12" customWidth="1"/>
    <col min="6918" max="6919" width="6.921875" style="12" customWidth="1"/>
    <col min="6920" max="6920" width="6.69140625" style="12" customWidth="1"/>
    <col min="6921" max="6921" width="0" style="12" hidden="1" customWidth="1"/>
    <col min="6922" max="6922" width="7.07421875" style="12" customWidth="1"/>
    <col min="6923" max="6923" width="6.4609375" style="12" customWidth="1"/>
    <col min="6924" max="6924" width="5.61328125" style="12" customWidth="1"/>
    <col min="6925" max="6925" width="0" style="12" hidden="1" customWidth="1"/>
    <col min="6926" max="6927" width="8.765625" style="12"/>
    <col min="6928" max="6928" width="11.765625" style="12" customWidth="1"/>
    <col min="6929" max="7168" width="8.765625" style="12"/>
    <col min="7169" max="7169" width="2.921875" style="12" customWidth="1"/>
    <col min="7170" max="7170" width="23.61328125" style="12" customWidth="1"/>
    <col min="7171" max="7171" width="5.921875" style="12" customWidth="1"/>
    <col min="7172" max="7172" width="7.4609375" style="12" customWidth="1"/>
    <col min="7173" max="7173" width="7.23046875" style="12" customWidth="1"/>
    <col min="7174" max="7175" width="6.921875" style="12" customWidth="1"/>
    <col min="7176" max="7176" width="6.69140625" style="12" customWidth="1"/>
    <col min="7177" max="7177" width="0" style="12" hidden="1" customWidth="1"/>
    <col min="7178" max="7178" width="7.07421875" style="12" customWidth="1"/>
    <col min="7179" max="7179" width="6.4609375" style="12" customWidth="1"/>
    <col min="7180" max="7180" width="5.61328125" style="12" customWidth="1"/>
    <col min="7181" max="7181" width="0" style="12" hidden="1" customWidth="1"/>
    <col min="7182" max="7183" width="8.765625" style="12"/>
    <col min="7184" max="7184" width="11.765625" style="12" customWidth="1"/>
    <col min="7185" max="7424" width="8.765625" style="12"/>
    <col min="7425" max="7425" width="2.921875" style="12" customWidth="1"/>
    <col min="7426" max="7426" width="23.61328125" style="12" customWidth="1"/>
    <col min="7427" max="7427" width="5.921875" style="12" customWidth="1"/>
    <col min="7428" max="7428" width="7.4609375" style="12" customWidth="1"/>
    <col min="7429" max="7429" width="7.23046875" style="12" customWidth="1"/>
    <col min="7430" max="7431" width="6.921875" style="12" customWidth="1"/>
    <col min="7432" max="7432" width="6.69140625" style="12" customWidth="1"/>
    <col min="7433" max="7433" width="0" style="12" hidden="1" customWidth="1"/>
    <col min="7434" max="7434" width="7.07421875" style="12" customWidth="1"/>
    <col min="7435" max="7435" width="6.4609375" style="12" customWidth="1"/>
    <col min="7436" max="7436" width="5.61328125" style="12" customWidth="1"/>
    <col min="7437" max="7437" width="0" style="12" hidden="1" customWidth="1"/>
    <col min="7438" max="7439" width="8.765625" style="12"/>
    <col min="7440" max="7440" width="11.765625" style="12" customWidth="1"/>
    <col min="7441" max="7680" width="8.765625" style="12"/>
    <col min="7681" max="7681" width="2.921875" style="12" customWidth="1"/>
    <col min="7682" max="7682" width="23.61328125" style="12" customWidth="1"/>
    <col min="7683" max="7683" width="5.921875" style="12" customWidth="1"/>
    <col min="7684" max="7684" width="7.4609375" style="12" customWidth="1"/>
    <col min="7685" max="7685" width="7.23046875" style="12" customWidth="1"/>
    <col min="7686" max="7687" width="6.921875" style="12" customWidth="1"/>
    <col min="7688" max="7688" width="6.69140625" style="12" customWidth="1"/>
    <col min="7689" max="7689" width="0" style="12" hidden="1" customWidth="1"/>
    <col min="7690" max="7690" width="7.07421875" style="12" customWidth="1"/>
    <col min="7691" max="7691" width="6.4609375" style="12" customWidth="1"/>
    <col min="7692" max="7692" width="5.61328125" style="12" customWidth="1"/>
    <col min="7693" max="7693" width="0" style="12" hidden="1" customWidth="1"/>
    <col min="7694" max="7695" width="8.765625" style="12"/>
    <col min="7696" max="7696" width="11.765625" style="12" customWidth="1"/>
    <col min="7697" max="7936" width="8.765625" style="12"/>
    <col min="7937" max="7937" width="2.921875" style="12" customWidth="1"/>
    <col min="7938" max="7938" width="23.61328125" style="12" customWidth="1"/>
    <col min="7939" max="7939" width="5.921875" style="12" customWidth="1"/>
    <col min="7940" max="7940" width="7.4609375" style="12" customWidth="1"/>
    <col min="7941" max="7941" width="7.23046875" style="12" customWidth="1"/>
    <col min="7942" max="7943" width="6.921875" style="12" customWidth="1"/>
    <col min="7944" max="7944" width="6.69140625" style="12" customWidth="1"/>
    <col min="7945" max="7945" width="0" style="12" hidden="1" customWidth="1"/>
    <col min="7946" max="7946" width="7.07421875" style="12" customWidth="1"/>
    <col min="7947" max="7947" width="6.4609375" style="12" customWidth="1"/>
    <col min="7948" max="7948" width="5.61328125" style="12" customWidth="1"/>
    <col min="7949" max="7949" width="0" style="12" hidden="1" customWidth="1"/>
    <col min="7950" max="7951" width="8.765625" style="12"/>
    <col min="7952" max="7952" width="11.765625" style="12" customWidth="1"/>
    <col min="7953" max="8192" width="8.765625" style="12"/>
    <col min="8193" max="8193" width="2.921875" style="12" customWidth="1"/>
    <col min="8194" max="8194" width="23.61328125" style="12" customWidth="1"/>
    <col min="8195" max="8195" width="5.921875" style="12" customWidth="1"/>
    <col min="8196" max="8196" width="7.4609375" style="12" customWidth="1"/>
    <col min="8197" max="8197" width="7.23046875" style="12" customWidth="1"/>
    <col min="8198" max="8199" width="6.921875" style="12" customWidth="1"/>
    <col min="8200" max="8200" width="6.69140625" style="12" customWidth="1"/>
    <col min="8201" max="8201" width="0" style="12" hidden="1" customWidth="1"/>
    <col min="8202" max="8202" width="7.07421875" style="12" customWidth="1"/>
    <col min="8203" max="8203" width="6.4609375" style="12" customWidth="1"/>
    <col min="8204" max="8204" width="5.61328125" style="12" customWidth="1"/>
    <col min="8205" max="8205" width="0" style="12" hidden="1" customWidth="1"/>
    <col min="8206" max="8207" width="8.765625" style="12"/>
    <col min="8208" max="8208" width="11.765625" style="12" customWidth="1"/>
    <col min="8209" max="8448" width="8.765625" style="12"/>
    <col min="8449" max="8449" width="2.921875" style="12" customWidth="1"/>
    <col min="8450" max="8450" width="23.61328125" style="12" customWidth="1"/>
    <col min="8451" max="8451" width="5.921875" style="12" customWidth="1"/>
    <col min="8452" max="8452" width="7.4609375" style="12" customWidth="1"/>
    <col min="8453" max="8453" width="7.23046875" style="12" customWidth="1"/>
    <col min="8454" max="8455" width="6.921875" style="12" customWidth="1"/>
    <col min="8456" max="8456" width="6.69140625" style="12" customWidth="1"/>
    <col min="8457" max="8457" width="0" style="12" hidden="1" customWidth="1"/>
    <col min="8458" max="8458" width="7.07421875" style="12" customWidth="1"/>
    <col min="8459" max="8459" width="6.4609375" style="12" customWidth="1"/>
    <col min="8460" max="8460" width="5.61328125" style="12" customWidth="1"/>
    <col min="8461" max="8461" width="0" style="12" hidden="1" customWidth="1"/>
    <col min="8462" max="8463" width="8.765625" style="12"/>
    <col min="8464" max="8464" width="11.765625" style="12" customWidth="1"/>
    <col min="8465" max="8704" width="8.765625" style="12"/>
    <col min="8705" max="8705" width="2.921875" style="12" customWidth="1"/>
    <col min="8706" max="8706" width="23.61328125" style="12" customWidth="1"/>
    <col min="8707" max="8707" width="5.921875" style="12" customWidth="1"/>
    <col min="8708" max="8708" width="7.4609375" style="12" customWidth="1"/>
    <col min="8709" max="8709" width="7.23046875" style="12" customWidth="1"/>
    <col min="8710" max="8711" width="6.921875" style="12" customWidth="1"/>
    <col min="8712" max="8712" width="6.69140625" style="12" customWidth="1"/>
    <col min="8713" max="8713" width="0" style="12" hidden="1" customWidth="1"/>
    <col min="8714" max="8714" width="7.07421875" style="12" customWidth="1"/>
    <col min="8715" max="8715" width="6.4609375" style="12" customWidth="1"/>
    <col min="8716" max="8716" width="5.61328125" style="12" customWidth="1"/>
    <col min="8717" max="8717" width="0" style="12" hidden="1" customWidth="1"/>
    <col min="8718" max="8719" width="8.765625" style="12"/>
    <col min="8720" max="8720" width="11.765625" style="12" customWidth="1"/>
    <col min="8721" max="8960" width="8.765625" style="12"/>
    <col min="8961" max="8961" width="2.921875" style="12" customWidth="1"/>
    <col min="8962" max="8962" width="23.61328125" style="12" customWidth="1"/>
    <col min="8963" max="8963" width="5.921875" style="12" customWidth="1"/>
    <col min="8964" max="8964" width="7.4609375" style="12" customWidth="1"/>
    <col min="8965" max="8965" width="7.23046875" style="12" customWidth="1"/>
    <col min="8966" max="8967" width="6.921875" style="12" customWidth="1"/>
    <col min="8968" max="8968" width="6.69140625" style="12" customWidth="1"/>
    <col min="8969" max="8969" width="0" style="12" hidden="1" customWidth="1"/>
    <col min="8970" max="8970" width="7.07421875" style="12" customWidth="1"/>
    <col min="8971" max="8971" width="6.4609375" style="12" customWidth="1"/>
    <col min="8972" max="8972" width="5.61328125" style="12" customWidth="1"/>
    <col min="8973" max="8973" width="0" style="12" hidden="1" customWidth="1"/>
    <col min="8974" max="8975" width="8.765625" style="12"/>
    <col min="8976" max="8976" width="11.765625" style="12" customWidth="1"/>
    <col min="8977" max="9216" width="8.765625" style="12"/>
    <col min="9217" max="9217" width="2.921875" style="12" customWidth="1"/>
    <col min="9218" max="9218" width="23.61328125" style="12" customWidth="1"/>
    <col min="9219" max="9219" width="5.921875" style="12" customWidth="1"/>
    <col min="9220" max="9220" width="7.4609375" style="12" customWidth="1"/>
    <col min="9221" max="9221" width="7.23046875" style="12" customWidth="1"/>
    <col min="9222" max="9223" width="6.921875" style="12" customWidth="1"/>
    <col min="9224" max="9224" width="6.69140625" style="12" customWidth="1"/>
    <col min="9225" max="9225" width="0" style="12" hidden="1" customWidth="1"/>
    <col min="9226" max="9226" width="7.07421875" style="12" customWidth="1"/>
    <col min="9227" max="9227" width="6.4609375" style="12" customWidth="1"/>
    <col min="9228" max="9228" width="5.61328125" style="12" customWidth="1"/>
    <col min="9229" max="9229" width="0" style="12" hidden="1" customWidth="1"/>
    <col min="9230" max="9231" width="8.765625" style="12"/>
    <col min="9232" max="9232" width="11.765625" style="12" customWidth="1"/>
    <col min="9233" max="9472" width="8.765625" style="12"/>
    <col min="9473" max="9473" width="2.921875" style="12" customWidth="1"/>
    <col min="9474" max="9474" width="23.61328125" style="12" customWidth="1"/>
    <col min="9475" max="9475" width="5.921875" style="12" customWidth="1"/>
    <col min="9476" max="9476" width="7.4609375" style="12" customWidth="1"/>
    <col min="9477" max="9477" width="7.23046875" style="12" customWidth="1"/>
    <col min="9478" max="9479" width="6.921875" style="12" customWidth="1"/>
    <col min="9480" max="9480" width="6.69140625" style="12" customWidth="1"/>
    <col min="9481" max="9481" width="0" style="12" hidden="1" customWidth="1"/>
    <col min="9482" max="9482" width="7.07421875" style="12" customWidth="1"/>
    <col min="9483" max="9483" width="6.4609375" style="12" customWidth="1"/>
    <col min="9484" max="9484" width="5.61328125" style="12" customWidth="1"/>
    <col min="9485" max="9485" width="0" style="12" hidden="1" customWidth="1"/>
    <col min="9486" max="9487" width="8.765625" style="12"/>
    <col min="9488" max="9488" width="11.765625" style="12" customWidth="1"/>
    <col min="9489" max="9728" width="8.765625" style="12"/>
    <col min="9729" max="9729" width="2.921875" style="12" customWidth="1"/>
    <col min="9730" max="9730" width="23.61328125" style="12" customWidth="1"/>
    <col min="9731" max="9731" width="5.921875" style="12" customWidth="1"/>
    <col min="9732" max="9732" width="7.4609375" style="12" customWidth="1"/>
    <col min="9733" max="9733" width="7.23046875" style="12" customWidth="1"/>
    <col min="9734" max="9735" width="6.921875" style="12" customWidth="1"/>
    <col min="9736" max="9736" width="6.69140625" style="12" customWidth="1"/>
    <col min="9737" max="9737" width="0" style="12" hidden="1" customWidth="1"/>
    <col min="9738" max="9738" width="7.07421875" style="12" customWidth="1"/>
    <col min="9739" max="9739" width="6.4609375" style="12" customWidth="1"/>
    <col min="9740" max="9740" width="5.61328125" style="12" customWidth="1"/>
    <col min="9741" max="9741" width="0" style="12" hidden="1" customWidth="1"/>
    <col min="9742" max="9743" width="8.765625" style="12"/>
    <col min="9744" max="9744" width="11.765625" style="12" customWidth="1"/>
    <col min="9745" max="9984" width="8.765625" style="12"/>
    <col min="9985" max="9985" width="2.921875" style="12" customWidth="1"/>
    <col min="9986" max="9986" width="23.61328125" style="12" customWidth="1"/>
    <col min="9987" max="9987" width="5.921875" style="12" customWidth="1"/>
    <col min="9988" max="9988" width="7.4609375" style="12" customWidth="1"/>
    <col min="9989" max="9989" width="7.23046875" style="12" customWidth="1"/>
    <col min="9990" max="9991" width="6.921875" style="12" customWidth="1"/>
    <col min="9992" max="9992" width="6.69140625" style="12" customWidth="1"/>
    <col min="9993" max="9993" width="0" style="12" hidden="1" customWidth="1"/>
    <col min="9994" max="9994" width="7.07421875" style="12" customWidth="1"/>
    <col min="9995" max="9995" width="6.4609375" style="12" customWidth="1"/>
    <col min="9996" max="9996" width="5.61328125" style="12" customWidth="1"/>
    <col min="9997" max="9997" width="0" style="12" hidden="1" customWidth="1"/>
    <col min="9998" max="9999" width="8.765625" style="12"/>
    <col min="10000" max="10000" width="11.765625" style="12" customWidth="1"/>
    <col min="10001" max="10240" width="8.765625" style="12"/>
    <col min="10241" max="10241" width="2.921875" style="12" customWidth="1"/>
    <col min="10242" max="10242" width="23.61328125" style="12" customWidth="1"/>
    <col min="10243" max="10243" width="5.921875" style="12" customWidth="1"/>
    <col min="10244" max="10244" width="7.4609375" style="12" customWidth="1"/>
    <col min="10245" max="10245" width="7.23046875" style="12" customWidth="1"/>
    <col min="10246" max="10247" width="6.921875" style="12" customWidth="1"/>
    <col min="10248" max="10248" width="6.69140625" style="12" customWidth="1"/>
    <col min="10249" max="10249" width="0" style="12" hidden="1" customWidth="1"/>
    <col min="10250" max="10250" width="7.07421875" style="12" customWidth="1"/>
    <col min="10251" max="10251" width="6.4609375" style="12" customWidth="1"/>
    <col min="10252" max="10252" width="5.61328125" style="12" customWidth="1"/>
    <col min="10253" max="10253" width="0" style="12" hidden="1" customWidth="1"/>
    <col min="10254" max="10255" width="8.765625" style="12"/>
    <col min="10256" max="10256" width="11.765625" style="12" customWidth="1"/>
    <col min="10257" max="10496" width="8.765625" style="12"/>
    <col min="10497" max="10497" width="2.921875" style="12" customWidth="1"/>
    <col min="10498" max="10498" width="23.61328125" style="12" customWidth="1"/>
    <col min="10499" max="10499" width="5.921875" style="12" customWidth="1"/>
    <col min="10500" max="10500" width="7.4609375" style="12" customWidth="1"/>
    <col min="10501" max="10501" width="7.23046875" style="12" customWidth="1"/>
    <col min="10502" max="10503" width="6.921875" style="12" customWidth="1"/>
    <col min="10504" max="10504" width="6.69140625" style="12" customWidth="1"/>
    <col min="10505" max="10505" width="0" style="12" hidden="1" customWidth="1"/>
    <col min="10506" max="10506" width="7.07421875" style="12" customWidth="1"/>
    <col min="10507" max="10507" width="6.4609375" style="12" customWidth="1"/>
    <col min="10508" max="10508" width="5.61328125" style="12" customWidth="1"/>
    <col min="10509" max="10509" width="0" style="12" hidden="1" customWidth="1"/>
    <col min="10510" max="10511" width="8.765625" style="12"/>
    <col min="10512" max="10512" width="11.765625" style="12" customWidth="1"/>
    <col min="10513" max="10752" width="8.765625" style="12"/>
    <col min="10753" max="10753" width="2.921875" style="12" customWidth="1"/>
    <col min="10754" max="10754" width="23.61328125" style="12" customWidth="1"/>
    <col min="10755" max="10755" width="5.921875" style="12" customWidth="1"/>
    <col min="10756" max="10756" width="7.4609375" style="12" customWidth="1"/>
    <col min="10757" max="10757" width="7.23046875" style="12" customWidth="1"/>
    <col min="10758" max="10759" width="6.921875" style="12" customWidth="1"/>
    <col min="10760" max="10760" width="6.69140625" style="12" customWidth="1"/>
    <col min="10761" max="10761" width="0" style="12" hidden="1" customWidth="1"/>
    <col min="10762" max="10762" width="7.07421875" style="12" customWidth="1"/>
    <col min="10763" max="10763" width="6.4609375" style="12" customWidth="1"/>
    <col min="10764" max="10764" width="5.61328125" style="12" customWidth="1"/>
    <col min="10765" max="10765" width="0" style="12" hidden="1" customWidth="1"/>
    <col min="10766" max="10767" width="8.765625" style="12"/>
    <col min="10768" max="10768" width="11.765625" style="12" customWidth="1"/>
    <col min="10769" max="11008" width="8.765625" style="12"/>
    <col min="11009" max="11009" width="2.921875" style="12" customWidth="1"/>
    <col min="11010" max="11010" width="23.61328125" style="12" customWidth="1"/>
    <col min="11011" max="11011" width="5.921875" style="12" customWidth="1"/>
    <col min="11012" max="11012" width="7.4609375" style="12" customWidth="1"/>
    <col min="11013" max="11013" width="7.23046875" style="12" customWidth="1"/>
    <col min="11014" max="11015" width="6.921875" style="12" customWidth="1"/>
    <col min="11016" max="11016" width="6.69140625" style="12" customWidth="1"/>
    <col min="11017" max="11017" width="0" style="12" hidden="1" customWidth="1"/>
    <col min="11018" max="11018" width="7.07421875" style="12" customWidth="1"/>
    <col min="11019" max="11019" width="6.4609375" style="12" customWidth="1"/>
    <col min="11020" max="11020" width="5.61328125" style="12" customWidth="1"/>
    <col min="11021" max="11021" width="0" style="12" hidden="1" customWidth="1"/>
    <col min="11022" max="11023" width="8.765625" style="12"/>
    <col min="11024" max="11024" width="11.765625" style="12" customWidth="1"/>
    <col min="11025" max="11264" width="8.765625" style="12"/>
    <col min="11265" max="11265" width="2.921875" style="12" customWidth="1"/>
    <col min="11266" max="11266" width="23.61328125" style="12" customWidth="1"/>
    <col min="11267" max="11267" width="5.921875" style="12" customWidth="1"/>
    <col min="11268" max="11268" width="7.4609375" style="12" customWidth="1"/>
    <col min="11269" max="11269" width="7.23046875" style="12" customWidth="1"/>
    <col min="11270" max="11271" width="6.921875" style="12" customWidth="1"/>
    <col min="11272" max="11272" width="6.69140625" style="12" customWidth="1"/>
    <col min="11273" max="11273" width="0" style="12" hidden="1" customWidth="1"/>
    <col min="11274" max="11274" width="7.07421875" style="12" customWidth="1"/>
    <col min="11275" max="11275" width="6.4609375" style="12" customWidth="1"/>
    <col min="11276" max="11276" width="5.61328125" style="12" customWidth="1"/>
    <col min="11277" max="11277" width="0" style="12" hidden="1" customWidth="1"/>
    <col min="11278" max="11279" width="8.765625" style="12"/>
    <col min="11280" max="11280" width="11.765625" style="12" customWidth="1"/>
    <col min="11281" max="11520" width="8.765625" style="12"/>
    <col min="11521" max="11521" width="2.921875" style="12" customWidth="1"/>
    <col min="11522" max="11522" width="23.61328125" style="12" customWidth="1"/>
    <col min="11523" max="11523" width="5.921875" style="12" customWidth="1"/>
    <col min="11524" max="11524" width="7.4609375" style="12" customWidth="1"/>
    <col min="11525" max="11525" width="7.23046875" style="12" customWidth="1"/>
    <col min="11526" max="11527" width="6.921875" style="12" customWidth="1"/>
    <col min="11528" max="11528" width="6.69140625" style="12" customWidth="1"/>
    <col min="11529" max="11529" width="0" style="12" hidden="1" customWidth="1"/>
    <col min="11530" max="11530" width="7.07421875" style="12" customWidth="1"/>
    <col min="11531" max="11531" width="6.4609375" style="12" customWidth="1"/>
    <col min="11532" max="11532" width="5.61328125" style="12" customWidth="1"/>
    <col min="11533" max="11533" width="0" style="12" hidden="1" customWidth="1"/>
    <col min="11534" max="11535" width="8.765625" style="12"/>
    <col min="11536" max="11536" width="11.765625" style="12" customWidth="1"/>
    <col min="11537" max="11776" width="8.765625" style="12"/>
    <col min="11777" max="11777" width="2.921875" style="12" customWidth="1"/>
    <col min="11778" max="11778" width="23.61328125" style="12" customWidth="1"/>
    <col min="11779" max="11779" width="5.921875" style="12" customWidth="1"/>
    <col min="11780" max="11780" width="7.4609375" style="12" customWidth="1"/>
    <col min="11781" max="11781" width="7.23046875" style="12" customWidth="1"/>
    <col min="11782" max="11783" width="6.921875" style="12" customWidth="1"/>
    <col min="11784" max="11784" width="6.69140625" style="12" customWidth="1"/>
    <col min="11785" max="11785" width="0" style="12" hidden="1" customWidth="1"/>
    <col min="11786" max="11786" width="7.07421875" style="12" customWidth="1"/>
    <col min="11787" max="11787" width="6.4609375" style="12" customWidth="1"/>
    <col min="11788" max="11788" width="5.61328125" style="12" customWidth="1"/>
    <col min="11789" max="11789" width="0" style="12" hidden="1" customWidth="1"/>
    <col min="11790" max="11791" width="8.765625" style="12"/>
    <col min="11792" max="11792" width="11.765625" style="12" customWidth="1"/>
    <col min="11793" max="12032" width="8.765625" style="12"/>
    <col min="12033" max="12033" width="2.921875" style="12" customWidth="1"/>
    <col min="12034" max="12034" width="23.61328125" style="12" customWidth="1"/>
    <col min="12035" max="12035" width="5.921875" style="12" customWidth="1"/>
    <col min="12036" max="12036" width="7.4609375" style="12" customWidth="1"/>
    <col min="12037" max="12037" width="7.23046875" style="12" customWidth="1"/>
    <col min="12038" max="12039" width="6.921875" style="12" customWidth="1"/>
    <col min="12040" max="12040" width="6.69140625" style="12" customWidth="1"/>
    <col min="12041" max="12041" width="0" style="12" hidden="1" customWidth="1"/>
    <col min="12042" max="12042" width="7.07421875" style="12" customWidth="1"/>
    <col min="12043" max="12043" width="6.4609375" style="12" customWidth="1"/>
    <col min="12044" max="12044" width="5.61328125" style="12" customWidth="1"/>
    <col min="12045" max="12045" width="0" style="12" hidden="1" customWidth="1"/>
    <col min="12046" max="12047" width="8.765625" style="12"/>
    <col min="12048" max="12048" width="11.765625" style="12" customWidth="1"/>
    <col min="12049" max="12288" width="8.765625" style="12"/>
    <col min="12289" max="12289" width="2.921875" style="12" customWidth="1"/>
    <col min="12290" max="12290" width="23.61328125" style="12" customWidth="1"/>
    <col min="12291" max="12291" width="5.921875" style="12" customWidth="1"/>
    <col min="12292" max="12292" width="7.4609375" style="12" customWidth="1"/>
    <col min="12293" max="12293" width="7.23046875" style="12" customWidth="1"/>
    <col min="12294" max="12295" width="6.921875" style="12" customWidth="1"/>
    <col min="12296" max="12296" width="6.69140625" style="12" customWidth="1"/>
    <col min="12297" max="12297" width="0" style="12" hidden="1" customWidth="1"/>
    <col min="12298" max="12298" width="7.07421875" style="12" customWidth="1"/>
    <col min="12299" max="12299" width="6.4609375" style="12" customWidth="1"/>
    <col min="12300" max="12300" width="5.61328125" style="12" customWidth="1"/>
    <col min="12301" max="12301" width="0" style="12" hidden="1" customWidth="1"/>
    <col min="12302" max="12303" width="8.765625" style="12"/>
    <col min="12304" max="12304" width="11.765625" style="12" customWidth="1"/>
    <col min="12305" max="12544" width="8.765625" style="12"/>
    <col min="12545" max="12545" width="2.921875" style="12" customWidth="1"/>
    <col min="12546" max="12546" width="23.61328125" style="12" customWidth="1"/>
    <col min="12547" max="12547" width="5.921875" style="12" customWidth="1"/>
    <col min="12548" max="12548" width="7.4609375" style="12" customWidth="1"/>
    <col min="12549" max="12549" width="7.23046875" style="12" customWidth="1"/>
    <col min="12550" max="12551" width="6.921875" style="12" customWidth="1"/>
    <col min="12552" max="12552" width="6.69140625" style="12" customWidth="1"/>
    <col min="12553" max="12553" width="0" style="12" hidden="1" customWidth="1"/>
    <col min="12554" max="12554" width="7.07421875" style="12" customWidth="1"/>
    <col min="12555" max="12555" width="6.4609375" style="12" customWidth="1"/>
    <col min="12556" max="12556" width="5.61328125" style="12" customWidth="1"/>
    <col min="12557" max="12557" width="0" style="12" hidden="1" customWidth="1"/>
    <col min="12558" max="12559" width="8.765625" style="12"/>
    <col min="12560" max="12560" width="11.765625" style="12" customWidth="1"/>
    <col min="12561" max="12800" width="8.765625" style="12"/>
    <col min="12801" max="12801" width="2.921875" style="12" customWidth="1"/>
    <col min="12802" max="12802" width="23.61328125" style="12" customWidth="1"/>
    <col min="12803" max="12803" width="5.921875" style="12" customWidth="1"/>
    <col min="12804" max="12804" width="7.4609375" style="12" customWidth="1"/>
    <col min="12805" max="12805" width="7.23046875" style="12" customWidth="1"/>
    <col min="12806" max="12807" width="6.921875" style="12" customWidth="1"/>
    <col min="12808" max="12808" width="6.69140625" style="12" customWidth="1"/>
    <col min="12809" max="12809" width="0" style="12" hidden="1" customWidth="1"/>
    <col min="12810" max="12810" width="7.07421875" style="12" customWidth="1"/>
    <col min="12811" max="12811" width="6.4609375" style="12" customWidth="1"/>
    <col min="12812" max="12812" width="5.61328125" style="12" customWidth="1"/>
    <col min="12813" max="12813" width="0" style="12" hidden="1" customWidth="1"/>
    <col min="12814" max="12815" width="8.765625" style="12"/>
    <col min="12816" max="12816" width="11.765625" style="12" customWidth="1"/>
    <col min="12817" max="13056" width="8.765625" style="12"/>
    <col min="13057" max="13057" width="2.921875" style="12" customWidth="1"/>
    <col min="13058" max="13058" width="23.61328125" style="12" customWidth="1"/>
    <col min="13059" max="13059" width="5.921875" style="12" customWidth="1"/>
    <col min="13060" max="13060" width="7.4609375" style="12" customWidth="1"/>
    <col min="13061" max="13061" width="7.23046875" style="12" customWidth="1"/>
    <col min="13062" max="13063" width="6.921875" style="12" customWidth="1"/>
    <col min="13064" max="13064" width="6.69140625" style="12" customWidth="1"/>
    <col min="13065" max="13065" width="0" style="12" hidden="1" customWidth="1"/>
    <col min="13066" max="13066" width="7.07421875" style="12" customWidth="1"/>
    <col min="13067" max="13067" width="6.4609375" style="12" customWidth="1"/>
    <col min="13068" max="13068" width="5.61328125" style="12" customWidth="1"/>
    <col min="13069" max="13069" width="0" style="12" hidden="1" customWidth="1"/>
    <col min="13070" max="13071" width="8.765625" style="12"/>
    <col min="13072" max="13072" width="11.765625" style="12" customWidth="1"/>
    <col min="13073" max="13312" width="8.765625" style="12"/>
    <col min="13313" max="13313" width="2.921875" style="12" customWidth="1"/>
    <col min="13314" max="13314" width="23.61328125" style="12" customWidth="1"/>
    <col min="13315" max="13315" width="5.921875" style="12" customWidth="1"/>
    <col min="13316" max="13316" width="7.4609375" style="12" customWidth="1"/>
    <col min="13317" max="13317" width="7.23046875" style="12" customWidth="1"/>
    <col min="13318" max="13319" width="6.921875" style="12" customWidth="1"/>
    <col min="13320" max="13320" width="6.69140625" style="12" customWidth="1"/>
    <col min="13321" max="13321" width="0" style="12" hidden="1" customWidth="1"/>
    <col min="13322" max="13322" width="7.07421875" style="12" customWidth="1"/>
    <col min="13323" max="13323" width="6.4609375" style="12" customWidth="1"/>
    <col min="13324" max="13324" width="5.61328125" style="12" customWidth="1"/>
    <col min="13325" max="13325" width="0" style="12" hidden="1" customWidth="1"/>
    <col min="13326" max="13327" width="8.765625" style="12"/>
    <col min="13328" max="13328" width="11.765625" style="12" customWidth="1"/>
    <col min="13329" max="13568" width="8.765625" style="12"/>
    <col min="13569" max="13569" width="2.921875" style="12" customWidth="1"/>
    <col min="13570" max="13570" width="23.61328125" style="12" customWidth="1"/>
    <col min="13571" max="13571" width="5.921875" style="12" customWidth="1"/>
    <col min="13572" max="13572" width="7.4609375" style="12" customWidth="1"/>
    <col min="13573" max="13573" width="7.23046875" style="12" customWidth="1"/>
    <col min="13574" max="13575" width="6.921875" style="12" customWidth="1"/>
    <col min="13576" max="13576" width="6.69140625" style="12" customWidth="1"/>
    <col min="13577" max="13577" width="0" style="12" hidden="1" customWidth="1"/>
    <col min="13578" max="13578" width="7.07421875" style="12" customWidth="1"/>
    <col min="13579" max="13579" width="6.4609375" style="12" customWidth="1"/>
    <col min="13580" max="13580" width="5.61328125" style="12" customWidth="1"/>
    <col min="13581" max="13581" width="0" style="12" hidden="1" customWidth="1"/>
    <col min="13582" max="13583" width="8.765625" style="12"/>
    <col min="13584" max="13584" width="11.765625" style="12" customWidth="1"/>
    <col min="13585" max="13824" width="8.765625" style="12"/>
    <col min="13825" max="13825" width="2.921875" style="12" customWidth="1"/>
    <col min="13826" max="13826" width="23.61328125" style="12" customWidth="1"/>
    <col min="13827" max="13827" width="5.921875" style="12" customWidth="1"/>
    <col min="13828" max="13828" width="7.4609375" style="12" customWidth="1"/>
    <col min="13829" max="13829" width="7.23046875" style="12" customWidth="1"/>
    <col min="13830" max="13831" width="6.921875" style="12" customWidth="1"/>
    <col min="13832" max="13832" width="6.69140625" style="12" customWidth="1"/>
    <col min="13833" max="13833" width="0" style="12" hidden="1" customWidth="1"/>
    <col min="13834" max="13834" width="7.07421875" style="12" customWidth="1"/>
    <col min="13835" max="13835" width="6.4609375" style="12" customWidth="1"/>
    <col min="13836" max="13836" width="5.61328125" style="12" customWidth="1"/>
    <col min="13837" max="13837" width="0" style="12" hidden="1" customWidth="1"/>
    <col min="13838" max="13839" width="8.765625" style="12"/>
    <col min="13840" max="13840" width="11.765625" style="12" customWidth="1"/>
    <col min="13841" max="14080" width="8.765625" style="12"/>
    <col min="14081" max="14081" width="2.921875" style="12" customWidth="1"/>
    <col min="14082" max="14082" width="23.61328125" style="12" customWidth="1"/>
    <col min="14083" max="14083" width="5.921875" style="12" customWidth="1"/>
    <col min="14084" max="14084" width="7.4609375" style="12" customWidth="1"/>
    <col min="14085" max="14085" width="7.23046875" style="12" customWidth="1"/>
    <col min="14086" max="14087" width="6.921875" style="12" customWidth="1"/>
    <col min="14088" max="14088" width="6.69140625" style="12" customWidth="1"/>
    <col min="14089" max="14089" width="0" style="12" hidden="1" customWidth="1"/>
    <col min="14090" max="14090" width="7.07421875" style="12" customWidth="1"/>
    <col min="14091" max="14091" width="6.4609375" style="12" customWidth="1"/>
    <col min="14092" max="14092" width="5.61328125" style="12" customWidth="1"/>
    <col min="14093" max="14093" width="0" style="12" hidden="1" customWidth="1"/>
    <col min="14094" max="14095" width="8.765625" style="12"/>
    <col min="14096" max="14096" width="11.765625" style="12" customWidth="1"/>
    <col min="14097" max="14336" width="8.765625" style="12"/>
    <col min="14337" max="14337" width="2.921875" style="12" customWidth="1"/>
    <col min="14338" max="14338" width="23.61328125" style="12" customWidth="1"/>
    <col min="14339" max="14339" width="5.921875" style="12" customWidth="1"/>
    <col min="14340" max="14340" width="7.4609375" style="12" customWidth="1"/>
    <col min="14341" max="14341" width="7.23046875" style="12" customWidth="1"/>
    <col min="14342" max="14343" width="6.921875" style="12" customWidth="1"/>
    <col min="14344" max="14344" width="6.69140625" style="12" customWidth="1"/>
    <col min="14345" max="14345" width="0" style="12" hidden="1" customWidth="1"/>
    <col min="14346" max="14346" width="7.07421875" style="12" customWidth="1"/>
    <col min="14347" max="14347" width="6.4609375" style="12" customWidth="1"/>
    <col min="14348" max="14348" width="5.61328125" style="12" customWidth="1"/>
    <col min="14349" max="14349" width="0" style="12" hidden="1" customWidth="1"/>
    <col min="14350" max="14351" width="8.765625" style="12"/>
    <col min="14352" max="14352" width="11.765625" style="12" customWidth="1"/>
    <col min="14353" max="14592" width="8.765625" style="12"/>
    <col min="14593" max="14593" width="2.921875" style="12" customWidth="1"/>
    <col min="14594" max="14594" width="23.61328125" style="12" customWidth="1"/>
    <col min="14595" max="14595" width="5.921875" style="12" customWidth="1"/>
    <col min="14596" max="14596" width="7.4609375" style="12" customWidth="1"/>
    <col min="14597" max="14597" width="7.23046875" style="12" customWidth="1"/>
    <col min="14598" max="14599" width="6.921875" style="12" customWidth="1"/>
    <col min="14600" max="14600" width="6.69140625" style="12" customWidth="1"/>
    <col min="14601" max="14601" width="0" style="12" hidden="1" customWidth="1"/>
    <col min="14602" max="14602" width="7.07421875" style="12" customWidth="1"/>
    <col min="14603" max="14603" width="6.4609375" style="12" customWidth="1"/>
    <col min="14604" max="14604" width="5.61328125" style="12" customWidth="1"/>
    <col min="14605" max="14605" width="0" style="12" hidden="1" customWidth="1"/>
    <col min="14606" max="14607" width="8.765625" style="12"/>
    <col min="14608" max="14608" width="11.765625" style="12" customWidth="1"/>
    <col min="14609" max="14848" width="8.765625" style="12"/>
    <col min="14849" max="14849" width="2.921875" style="12" customWidth="1"/>
    <col min="14850" max="14850" width="23.61328125" style="12" customWidth="1"/>
    <col min="14851" max="14851" width="5.921875" style="12" customWidth="1"/>
    <col min="14852" max="14852" width="7.4609375" style="12" customWidth="1"/>
    <col min="14853" max="14853" width="7.23046875" style="12" customWidth="1"/>
    <col min="14854" max="14855" width="6.921875" style="12" customWidth="1"/>
    <col min="14856" max="14856" width="6.69140625" style="12" customWidth="1"/>
    <col min="14857" max="14857" width="0" style="12" hidden="1" customWidth="1"/>
    <col min="14858" max="14858" width="7.07421875" style="12" customWidth="1"/>
    <col min="14859" max="14859" width="6.4609375" style="12" customWidth="1"/>
    <col min="14860" max="14860" width="5.61328125" style="12" customWidth="1"/>
    <col min="14861" max="14861" width="0" style="12" hidden="1" customWidth="1"/>
    <col min="14862" max="14863" width="8.765625" style="12"/>
    <col min="14864" max="14864" width="11.765625" style="12" customWidth="1"/>
    <col min="14865" max="15104" width="8.765625" style="12"/>
    <col min="15105" max="15105" width="2.921875" style="12" customWidth="1"/>
    <col min="15106" max="15106" width="23.61328125" style="12" customWidth="1"/>
    <col min="15107" max="15107" width="5.921875" style="12" customWidth="1"/>
    <col min="15108" max="15108" width="7.4609375" style="12" customWidth="1"/>
    <col min="15109" max="15109" width="7.23046875" style="12" customWidth="1"/>
    <col min="15110" max="15111" width="6.921875" style="12" customWidth="1"/>
    <col min="15112" max="15112" width="6.69140625" style="12" customWidth="1"/>
    <col min="15113" max="15113" width="0" style="12" hidden="1" customWidth="1"/>
    <col min="15114" max="15114" width="7.07421875" style="12" customWidth="1"/>
    <col min="15115" max="15115" width="6.4609375" style="12" customWidth="1"/>
    <col min="15116" max="15116" width="5.61328125" style="12" customWidth="1"/>
    <col min="15117" max="15117" width="0" style="12" hidden="1" customWidth="1"/>
    <col min="15118" max="15119" width="8.765625" style="12"/>
    <col min="15120" max="15120" width="11.765625" style="12" customWidth="1"/>
    <col min="15121" max="15360" width="8.765625" style="12"/>
    <col min="15361" max="15361" width="2.921875" style="12" customWidth="1"/>
    <col min="15362" max="15362" width="23.61328125" style="12" customWidth="1"/>
    <col min="15363" max="15363" width="5.921875" style="12" customWidth="1"/>
    <col min="15364" max="15364" width="7.4609375" style="12" customWidth="1"/>
    <col min="15365" max="15365" width="7.23046875" style="12" customWidth="1"/>
    <col min="15366" max="15367" width="6.921875" style="12" customWidth="1"/>
    <col min="15368" max="15368" width="6.69140625" style="12" customWidth="1"/>
    <col min="15369" max="15369" width="0" style="12" hidden="1" customWidth="1"/>
    <col min="15370" max="15370" width="7.07421875" style="12" customWidth="1"/>
    <col min="15371" max="15371" width="6.4609375" style="12" customWidth="1"/>
    <col min="15372" max="15372" width="5.61328125" style="12" customWidth="1"/>
    <col min="15373" max="15373" width="0" style="12" hidden="1" customWidth="1"/>
    <col min="15374" max="15375" width="8.765625" style="12"/>
    <col min="15376" max="15376" width="11.765625" style="12" customWidth="1"/>
    <col min="15377" max="15616" width="8.765625" style="12"/>
    <col min="15617" max="15617" width="2.921875" style="12" customWidth="1"/>
    <col min="15618" max="15618" width="23.61328125" style="12" customWidth="1"/>
    <col min="15619" max="15619" width="5.921875" style="12" customWidth="1"/>
    <col min="15620" max="15620" width="7.4609375" style="12" customWidth="1"/>
    <col min="15621" max="15621" width="7.23046875" style="12" customWidth="1"/>
    <col min="15622" max="15623" width="6.921875" style="12" customWidth="1"/>
    <col min="15624" max="15624" width="6.69140625" style="12" customWidth="1"/>
    <col min="15625" max="15625" width="0" style="12" hidden="1" customWidth="1"/>
    <col min="15626" max="15626" width="7.07421875" style="12" customWidth="1"/>
    <col min="15627" max="15627" width="6.4609375" style="12" customWidth="1"/>
    <col min="15628" max="15628" width="5.61328125" style="12" customWidth="1"/>
    <col min="15629" max="15629" width="0" style="12" hidden="1" customWidth="1"/>
    <col min="15630" max="15631" width="8.765625" style="12"/>
    <col min="15632" max="15632" width="11.765625" style="12" customWidth="1"/>
    <col min="15633" max="15872" width="8.765625" style="12"/>
    <col min="15873" max="15873" width="2.921875" style="12" customWidth="1"/>
    <col min="15874" max="15874" width="23.61328125" style="12" customWidth="1"/>
    <col min="15875" max="15875" width="5.921875" style="12" customWidth="1"/>
    <col min="15876" max="15876" width="7.4609375" style="12" customWidth="1"/>
    <col min="15877" max="15877" width="7.23046875" style="12" customWidth="1"/>
    <col min="15878" max="15879" width="6.921875" style="12" customWidth="1"/>
    <col min="15880" max="15880" width="6.69140625" style="12" customWidth="1"/>
    <col min="15881" max="15881" width="0" style="12" hidden="1" customWidth="1"/>
    <col min="15882" max="15882" width="7.07421875" style="12" customWidth="1"/>
    <col min="15883" max="15883" width="6.4609375" style="12" customWidth="1"/>
    <col min="15884" max="15884" width="5.61328125" style="12" customWidth="1"/>
    <col min="15885" max="15885" width="0" style="12" hidden="1" customWidth="1"/>
    <col min="15886" max="15887" width="8.765625" style="12"/>
    <col min="15888" max="15888" width="11.765625" style="12" customWidth="1"/>
    <col min="15889" max="16128" width="8.765625" style="12"/>
    <col min="16129" max="16129" width="2.921875" style="12" customWidth="1"/>
    <col min="16130" max="16130" width="23.61328125" style="12" customWidth="1"/>
    <col min="16131" max="16131" width="5.921875" style="12" customWidth="1"/>
    <col min="16132" max="16132" width="7.4609375" style="12" customWidth="1"/>
    <col min="16133" max="16133" width="7.23046875" style="12" customWidth="1"/>
    <col min="16134" max="16135" width="6.921875" style="12" customWidth="1"/>
    <col min="16136" max="16136" width="6.69140625" style="12" customWidth="1"/>
    <col min="16137" max="16137" width="0" style="12" hidden="1" customWidth="1"/>
    <col min="16138" max="16138" width="7.07421875" style="12" customWidth="1"/>
    <col min="16139" max="16139" width="6.4609375" style="12" customWidth="1"/>
    <col min="16140" max="16140" width="5.61328125" style="12" customWidth="1"/>
    <col min="16141" max="16141" width="0" style="12" hidden="1" customWidth="1"/>
    <col min="16142" max="16143" width="8.765625" style="12"/>
    <col min="16144" max="16144" width="11.765625" style="12" customWidth="1"/>
    <col min="16145" max="16384" width="8.765625" style="12"/>
  </cols>
  <sheetData>
    <row r="1" spans="1:17" ht="18.75" customHeight="1">
      <c r="A1" s="10"/>
      <c r="B1" s="10"/>
      <c r="I1" s="14"/>
    </row>
    <row r="2" spans="1:17" ht="24" customHeight="1">
      <c r="A2" s="281" t="s">
        <v>22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</row>
    <row r="3" spans="1:17" ht="18.75" customHeight="1">
      <c r="A3" s="282" t="s">
        <v>23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</row>
    <row r="4" spans="1:17" ht="16.5" customHeight="1">
      <c r="A4" s="283"/>
      <c r="B4" s="283"/>
      <c r="C4" s="15"/>
      <c r="D4" s="15"/>
      <c r="E4" s="15"/>
      <c r="F4" s="15"/>
      <c r="G4" s="16"/>
      <c r="H4" s="16"/>
      <c r="I4" s="15"/>
      <c r="J4" s="15"/>
      <c r="K4" s="284" t="s">
        <v>24</v>
      </c>
      <c r="L4" s="284"/>
      <c r="M4" s="15"/>
    </row>
    <row r="5" spans="1:17" s="11" customFormat="1" ht="24.75" customHeight="1">
      <c r="A5" s="285" t="s">
        <v>9</v>
      </c>
      <c r="B5" s="286" t="s">
        <v>2</v>
      </c>
      <c r="C5" s="285" t="s">
        <v>25</v>
      </c>
      <c r="D5" s="285" t="s">
        <v>121</v>
      </c>
      <c r="E5" s="285" t="s">
        <v>122</v>
      </c>
      <c r="F5" s="280" t="s">
        <v>123</v>
      </c>
      <c r="G5" s="280"/>
      <c r="H5" s="280"/>
      <c r="I5" s="280" t="s">
        <v>26</v>
      </c>
      <c r="J5" s="280" t="s">
        <v>3</v>
      </c>
      <c r="K5" s="280"/>
      <c r="L5" s="280"/>
      <c r="M5" s="17"/>
    </row>
    <row r="6" spans="1:17" s="11" customFormat="1" ht="48.75" customHeight="1">
      <c r="A6" s="285"/>
      <c r="B6" s="286"/>
      <c r="C6" s="285"/>
      <c r="D6" s="285"/>
      <c r="E6" s="285"/>
      <c r="F6" s="18" t="s">
        <v>27</v>
      </c>
      <c r="G6" s="19" t="s">
        <v>28</v>
      </c>
      <c r="H6" s="19" t="s">
        <v>18</v>
      </c>
      <c r="I6" s="280"/>
      <c r="J6" s="18" t="s">
        <v>124</v>
      </c>
      <c r="K6" s="20" t="s">
        <v>125</v>
      </c>
      <c r="L6" s="20" t="s">
        <v>126</v>
      </c>
      <c r="M6" s="21" t="s">
        <v>29</v>
      </c>
    </row>
    <row r="7" spans="1:17" s="32" customFormat="1" ht="27.6">
      <c r="A7" s="22"/>
      <c r="B7" s="23" t="s">
        <v>30</v>
      </c>
      <c r="C7" s="24" t="s">
        <v>7</v>
      </c>
      <c r="D7" s="25">
        <v>1757.4807599999997</v>
      </c>
      <c r="E7" s="26">
        <v>3537</v>
      </c>
      <c r="F7" s="27">
        <v>4015</v>
      </c>
      <c r="G7" s="28">
        <v>2085.5</v>
      </c>
      <c r="H7" s="28">
        <v>4115</v>
      </c>
      <c r="I7" s="27">
        <v>3327</v>
      </c>
      <c r="J7" s="26">
        <f>G7/D7*100</f>
        <v>118.66417246012983</v>
      </c>
      <c r="K7" s="29">
        <f>G7/F7*100</f>
        <v>51.942714819427152</v>
      </c>
      <c r="L7" s="30">
        <f>(H7/F7)*100</f>
        <v>102.49066002490662</v>
      </c>
      <c r="M7" s="31">
        <f>I7/F7*100</f>
        <v>82.864259028642593</v>
      </c>
    </row>
    <row r="8" spans="1:17" s="42" customFormat="1" ht="13.8">
      <c r="A8" s="33">
        <v>1</v>
      </c>
      <c r="B8" s="34" t="s">
        <v>31</v>
      </c>
      <c r="C8" s="35"/>
      <c r="D8" s="36"/>
      <c r="E8" s="37"/>
      <c r="F8" s="37">
        <v>0</v>
      </c>
      <c r="G8" s="38"/>
      <c r="H8" s="28">
        <f t="shared" ref="H8:H19" si="0">F8</f>
        <v>0</v>
      </c>
      <c r="I8" s="39"/>
      <c r="J8" s="29"/>
      <c r="K8" s="29"/>
      <c r="L8" s="40"/>
      <c r="M8" s="41"/>
    </row>
    <row r="9" spans="1:17" s="32" customFormat="1" ht="13.8">
      <c r="A9" s="33" t="s">
        <v>32</v>
      </c>
      <c r="B9" s="23" t="s">
        <v>33</v>
      </c>
      <c r="C9" s="35"/>
      <c r="D9" s="36"/>
      <c r="E9" s="43"/>
      <c r="F9" s="43">
        <v>0</v>
      </c>
      <c r="G9" s="38"/>
      <c r="H9" s="28">
        <f t="shared" si="0"/>
        <v>0</v>
      </c>
      <c r="I9" s="44"/>
      <c r="J9" s="29"/>
      <c r="K9" s="29"/>
      <c r="L9" s="40"/>
      <c r="M9" s="41"/>
    </row>
    <row r="10" spans="1:17" s="48" customFormat="1" ht="13.8">
      <c r="A10" s="45" t="s">
        <v>8</v>
      </c>
      <c r="B10" s="46" t="s">
        <v>34</v>
      </c>
      <c r="C10" s="24" t="s">
        <v>7</v>
      </c>
      <c r="D10" s="25">
        <v>405.12</v>
      </c>
      <c r="E10" s="26">
        <v>1069.53024</v>
      </c>
      <c r="F10" s="26">
        <v>1238.4000000000001</v>
      </c>
      <c r="G10" s="47">
        <v>485.1</v>
      </c>
      <c r="H10" s="47">
        <f t="shared" si="0"/>
        <v>1238.4000000000001</v>
      </c>
      <c r="I10" s="27">
        <v>1006</v>
      </c>
      <c r="J10" s="26">
        <f>G10/D10*100</f>
        <v>119.74229857819904</v>
      </c>
      <c r="K10" s="29">
        <f>G10/F10*100</f>
        <v>39.171511627906973</v>
      </c>
      <c r="L10" s="40">
        <f>(H10/F10)*100</f>
        <v>100</v>
      </c>
      <c r="M10" s="41">
        <f>I10/F10*100</f>
        <v>81.233850129198956</v>
      </c>
      <c r="Q10" s="48">
        <f>(620+66)/D11</f>
        <v>1.3153857953673878</v>
      </c>
    </row>
    <row r="11" spans="1:17" s="48" customFormat="1" ht="13.8">
      <c r="A11" s="45" t="s">
        <v>8</v>
      </c>
      <c r="B11" s="46" t="s">
        <v>35</v>
      </c>
      <c r="C11" s="24" t="s">
        <v>7</v>
      </c>
      <c r="D11" s="25">
        <v>521.52</v>
      </c>
      <c r="E11" s="26">
        <v>1365</v>
      </c>
      <c r="F11" s="26">
        <v>1565.3</v>
      </c>
      <c r="G11" s="47">
        <v>620.20000000000005</v>
      </c>
      <c r="H11" s="47">
        <f t="shared" si="0"/>
        <v>1565.3</v>
      </c>
      <c r="I11" s="27">
        <v>1232</v>
      </c>
      <c r="J11" s="26">
        <f>G11/D11*100</f>
        <v>118.92161374443934</v>
      </c>
      <c r="K11" s="29">
        <f>G11/F11*100</f>
        <v>39.621797738452699</v>
      </c>
      <c r="L11" s="40">
        <f>(H11/F11)*100</f>
        <v>100</v>
      </c>
      <c r="M11" s="41">
        <f>I11/F11*100</f>
        <v>78.70695713281799</v>
      </c>
      <c r="Q11" s="48">
        <f>66/(66+G11)*100</f>
        <v>9.6181871174584668</v>
      </c>
    </row>
    <row r="12" spans="1:17" s="32" customFormat="1" ht="13.8">
      <c r="A12" s="33" t="s">
        <v>36</v>
      </c>
      <c r="B12" s="23" t="s">
        <v>37</v>
      </c>
      <c r="C12" s="35"/>
      <c r="D12" s="36">
        <v>0</v>
      </c>
      <c r="E12" s="49"/>
      <c r="F12" s="49">
        <v>0</v>
      </c>
      <c r="G12" s="47">
        <f>H12/12*10</f>
        <v>0</v>
      </c>
      <c r="H12" s="28">
        <f t="shared" si="0"/>
        <v>0</v>
      </c>
      <c r="I12" s="44"/>
      <c r="J12" s="26"/>
      <c r="K12" s="29"/>
      <c r="L12" s="40"/>
      <c r="M12" s="41"/>
      <c r="O12" s="48"/>
    </row>
    <row r="13" spans="1:17" s="32" customFormat="1" ht="13.8">
      <c r="A13" s="33" t="s">
        <v>8</v>
      </c>
      <c r="B13" s="50" t="s">
        <v>34</v>
      </c>
      <c r="C13" s="35" t="s">
        <v>7</v>
      </c>
      <c r="D13" s="25">
        <v>261.78626000000003</v>
      </c>
      <c r="E13" s="49">
        <v>601.79999999999995</v>
      </c>
      <c r="F13" s="49">
        <v>667.5</v>
      </c>
      <c r="G13" s="47">
        <v>313.39999999999998</v>
      </c>
      <c r="H13" s="51">
        <v>681.5</v>
      </c>
      <c r="I13" s="49">
        <v>440</v>
      </c>
      <c r="J13" s="26">
        <f>G13/D13*100</f>
        <v>119.71598509409927</v>
      </c>
      <c r="K13" s="29">
        <f>G13/F13*100</f>
        <v>46.951310861423217</v>
      </c>
      <c r="L13" s="30">
        <f>(H13/F13)*100</f>
        <v>102.09737827715355</v>
      </c>
      <c r="M13" s="41">
        <f>I13/F13*100</f>
        <v>65.917602996254672</v>
      </c>
      <c r="N13" s="32">
        <f>0.6*20</f>
        <v>12</v>
      </c>
      <c r="O13" s="48"/>
    </row>
    <row r="14" spans="1:17" s="32" customFormat="1" ht="13.8">
      <c r="A14" s="33" t="s">
        <v>8</v>
      </c>
      <c r="B14" s="50" t="s">
        <v>35</v>
      </c>
      <c r="C14" s="35" t="s">
        <v>7</v>
      </c>
      <c r="D14" s="25">
        <v>347.63809333333302</v>
      </c>
      <c r="E14" s="49">
        <v>770.85406666666677</v>
      </c>
      <c r="F14" s="49">
        <v>875.8</v>
      </c>
      <c r="G14" s="47">
        <v>413.4</v>
      </c>
      <c r="H14" s="51">
        <v>895.6</v>
      </c>
      <c r="I14" s="49">
        <v>549</v>
      </c>
      <c r="J14" s="26">
        <f>G14/D14*100</f>
        <v>118.9167723353065</v>
      </c>
      <c r="K14" s="29">
        <f>G14/F14*100</f>
        <v>47.202557661566566</v>
      </c>
      <c r="L14" s="30">
        <f>(H14/F14)*100</f>
        <v>102.26079013473397</v>
      </c>
      <c r="M14" s="41">
        <f>I14/F14*100</f>
        <v>62.685544644896098</v>
      </c>
      <c r="O14" s="48"/>
    </row>
    <row r="15" spans="1:17" s="32" customFormat="1" ht="13.8">
      <c r="A15" s="33" t="s">
        <v>38</v>
      </c>
      <c r="B15" s="23" t="s">
        <v>39</v>
      </c>
      <c r="C15" s="35"/>
      <c r="D15" s="36">
        <v>0</v>
      </c>
      <c r="E15" s="49"/>
      <c r="F15" s="49">
        <v>0</v>
      </c>
      <c r="G15" s="47">
        <f>H15/12*10</f>
        <v>0</v>
      </c>
      <c r="H15" s="28">
        <f t="shared" si="0"/>
        <v>0</v>
      </c>
      <c r="I15" s="26"/>
      <c r="J15" s="26"/>
      <c r="K15" s="29"/>
      <c r="L15" s="40"/>
      <c r="M15" s="41"/>
    </row>
    <row r="16" spans="1:17" s="32" customFormat="1" ht="13.8">
      <c r="A16" s="33" t="s">
        <v>8</v>
      </c>
      <c r="B16" s="50" t="s">
        <v>34</v>
      </c>
      <c r="C16" s="35" t="s">
        <v>7</v>
      </c>
      <c r="D16" s="25">
        <v>866.80119994722247</v>
      </c>
      <c r="E16" s="49">
        <v>1693</v>
      </c>
      <c r="F16" s="49">
        <v>1916.4759999999999</v>
      </c>
      <c r="G16" s="47">
        <v>988.95</v>
      </c>
      <c r="H16" s="51">
        <v>1926.1</v>
      </c>
      <c r="I16" s="49">
        <v>1462</v>
      </c>
      <c r="J16" s="26">
        <f>G16/D16*100</f>
        <v>114.09190481741544</v>
      </c>
      <c r="K16" s="29">
        <f>G16/F16*100</f>
        <v>51.602524633754875</v>
      </c>
      <c r="L16" s="30">
        <f>(H16/F16)*100</f>
        <v>100.50217169429725</v>
      </c>
      <c r="M16" s="41">
        <f>I16/F16*100</f>
        <v>76.285849653217682</v>
      </c>
    </row>
    <row r="17" spans="1:16" s="32" customFormat="1" ht="13.8">
      <c r="A17" s="33" t="s">
        <v>8</v>
      </c>
      <c r="B17" s="50" t="s">
        <v>35</v>
      </c>
      <c r="C17" s="35" t="s">
        <v>7</v>
      </c>
      <c r="D17" s="25">
        <v>1042.946733</v>
      </c>
      <c r="E17" s="49">
        <v>2124.0379480000001</v>
      </c>
      <c r="F17" s="49">
        <v>2410.78307098</v>
      </c>
      <c r="G17" s="47">
        <v>1211</v>
      </c>
      <c r="H17" s="51">
        <v>2418.4</v>
      </c>
      <c r="I17" s="49">
        <v>1698</v>
      </c>
      <c r="J17" s="26">
        <f>G17/D17*100</f>
        <v>116.11331256742142</v>
      </c>
      <c r="K17" s="29">
        <f>G17/F17*100</f>
        <v>50.232640778737512</v>
      </c>
      <c r="L17" s="30">
        <f>(H17/F17)*100</f>
        <v>100.31595248497011</v>
      </c>
      <c r="M17" s="41">
        <f>I17/F17*100</f>
        <v>70.433545864819408</v>
      </c>
    </row>
    <row r="18" spans="1:16" s="42" customFormat="1" ht="13.8">
      <c r="A18" s="33">
        <v>2</v>
      </c>
      <c r="B18" s="34" t="s">
        <v>40</v>
      </c>
      <c r="C18" s="35"/>
      <c r="D18" s="36">
        <v>0</v>
      </c>
      <c r="E18" s="37"/>
      <c r="F18" s="37">
        <v>0</v>
      </c>
      <c r="G18" s="47">
        <f>H18/12*10</f>
        <v>0</v>
      </c>
      <c r="H18" s="28">
        <f t="shared" si="0"/>
        <v>0</v>
      </c>
      <c r="I18" s="39"/>
      <c r="J18" s="26"/>
      <c r="K18" s="29"/>
      <c r="L18" s="40"/>
      <c r="M18" s="41"/>
    </row>
    <row r="19" spans="1:16" s="32" customFormat="1" ht="27.6">
      <c r="A19" s="33" t="s">
        <v>32</v>
      </c>
      <c r="B19" s="23" t="s">
        <v>41</v>
      </c>
      <c r="C19" s="35"/>
      <c r="D19" s="36">
        <v>0</v>
      </c>
      <c r="E19" s="43"/>
      <c r="F19" s="43">
        <v>0</v>
      </c>
      <c r="G19" s="47">
        <f>H19/12*10</f>
        <v>0</v>
      </c>
      <c r="H19" s="28">
        <f t="shared" si="0"/>
        <v>0</v>
      </c>
      <c r="I19" s="44"/>
      <c r="J19" s="26"/>
      <c r="K19" s="29"/>
      <c r="L19" s="40"/>
      <c r="M19" s="41"/>
    </row>
    <row r="20" spans="1:16" s="48" customFormat="1" ht="13.8">
      <c r="A20" s="52" t="s">
        <v>8</v>
      </c>
      <c r="B20" s="50" t="s">
        <v>34</v>
      </c>
      <c r="C20" s="53" t="s">
        <v>7</v>
      </c>
      <c r="D20" s="25">
        <v>266.35833333333301</v>
      </c>
      <c r="E20" s="44">
        <v>592.7166666666667</v>
      </c>
      <c r="F20" s="26">
        <v>656</v>
      </c>
      <c r="G20" s="47">
        <v>298.39999999999998</v>
      </c>
      <c r="H20" s="47">
        <v>671</v>
      </c>
      <c r="I20" s="49">
        <v>583</v>
      </c>
      <c r="J20" s="26">
        <f>G20/D20*100</f>
        <v>112.02953414885974</v>
      </c>
      <c r="K20" s="29">
        <f>G20/F20*100</f>
        <v>45.487804878048777</v>
      </c>
      <c r="L20" s="30">
        <f>(H20/F20)*100</f>
        <v>102.28658536585367</v>
      </c>
      <c r="M20" s="41">
        <f>I20/F20*100</f>
        <v>88.871951219512198</v>
      </c>
    </row>
    <row r="21" spans="1:16" s="48" customFormat="1" ht="13.8">
      <c r="A21" s="52" t="s">
        <v>8</v>
      </c>
      <c r="B21" s="50" t="s">
        <v>35</v>
      </c>
      <c r="C21" s="53" t="s">
        <v>7</v>
      </c>
      <c r="D21" s="25">
        <v>329.558333333333</v>
      </c>
      <c r="E21" s="44">
        <v>739.11666666666667</v>
      </c>
      <c r="F21" s="26">
        <v>810</v>
      </c>
      <c r="G21" s="47">
        <v>365</v>
      </c>
      <c r="H21" s="47">
        <v>825</v>
      </c>
      <c r="I21" s="49">
        <v>727</v>
      </c>
      <c r="J21" s="26">
        <f>G21/D21*100</f>
        <v>110.7542923609883</v>
      </c>
      <c r="K21" s="29">
        <f>G21/F21*100</f>
        <v>45.061728395061728</v>
      </c>
      <c r="L21" s="30">
        <f>(H21/F21)*100</f>
        <v>101.85185185185186</v>
      </c>
      <c r="M21" s="41">
        <f>I21/F21*100</f>
        <v>89.753086419753075</v>
      </c>
    </row>
    <row r="22" spans="1:16" s="32" customFormat="1" ht="13.8">
      <c r="A22" s="33" t="s">
        <v>36</v>
      </c>
      <c r="B22" s="23" t="s">
        <v>42</v>
      </c>
      <c r="C22" s="35"/>
      <c r="D22" s="36">
        <v>0</v>
      </c>
      <c r="E22" s="49">
        <v>0</v>
      </c>
      <c r="F22" s="49"/>
      <c r="G22" s="47">
        <f>H22/12*10</f>
        <v>0</v>
      </c>
      <c r="H22" s="28"/>
      <c r="I22" s="26"/>
      <c r="J22" s="26"/>
      <c r="K22" s="29"/>
      <c r="L22" s="40"/>
      <c r="M22" s="41"/>
    </row>
    <row r="23" spans="1:16" s="48" customFormat="1" ht="13.8">
      <c r="A23" s="52" t="s">
        <v>8</v>
      </c>
      <c r="B23" s="50" t="s">
        <v>34</v>
      </c>
      <c r="C23" s="53" t="s">
        <v>7</v>
      </c>
      <c r="D23" s="25">
        <v>386.02833333333331</v>
      </c>
      <c r="E23" s="44">
        <v>778.38499999999999</v>
      </c>
      <c r="F23" s="44">
        <v>845</v>
      </c>
      <c r="G23" s="47">
        <v>443.5</v>
      </c>
      <c r="H23" s="47">
        <v>855</v>
      </c>
      <c r="I23" s="44">
        <v>759.4</v>
      </c>
      <c r="J23" s="26">
        <f>G23/D23*100</f>
        <v>114.88794000440383</v>
      </c>
      <c r="K23" s="29">
        <f>G23/F23*100</f>
        <v>52.485207100591715</v>
      </c>
      <c r="L23" s="30">
        <f>(H23/F23)*100</f>
        <v>101.18343195266273</v>
      </c>
      <c r="M23" s="41">
        <f>I23/F23*100</f>
        <v>89.869822485207095</v>
      </c>
    </row>
    <row r="24" spans="1:16" s="48" customFormat="1" ht="13.8">
      <c r="A24" s="52" t="s">
        <v>8</v>
      </c>
      <c r="B24" s="50" t="s">
        <v>35</v>
      </c>
      <c r="C24" s="53" t="s">
        <v>7</v>
      </c>
      <c r="D24" s="25">
        <v>492.26833333333298</v>
      </c>
      <c r="E24" s="44">
        <v>1004.7050000000002</v>
      </c>
      <c r="F24" s="44">
        <v>1104</v>
      </c>
      <c r="G24" s="47">
        <v>569</v>
      </c>
      <c r="H24" s="47">
        <v>1119</v>
      </c>
      <c r="I24" s="44">
        <v>980.2</v>
      </c>
      <c r="J24" s="26">
        <f>G24/D24*100</f>
        <v>115.58736596910231</v>
      </c>
      <c r="K24" s="29">
        <f>G24/F24*100</f>
        <v>51.539855072463766</v>
      </c>
      <c r="L24" s="30">
        <f>(H24/F24)*100</f>
        <v>101.35869565217391</v>
      </c>
      <c r="M24" s="41">
        <f>I24/F24*100</f>
        <v>88.786231884057969</v>
      </c>
    </row>
    <row r="25" spans="1:16" s="55" customFormat="1" ht="13.8">
      <c r="A25" s="33">
        <v>3</v>
      </c>
      <c r="B25" s="23" t="s">
        <v>43</v>
      </c>
      <c r="C25" s="53"/>
      <c r="D25" s="36">
        <v>0</v>
      </c>
      <c r="E25" s="54"/>
      <c r="F25" s="54">
        <v>0</v>
      </c>
      <c r="G25" s="47">
        <f>H25/12*10</f>
        <v>0</v>
      </c>
      <c r="H25" s="28">
        <f>F25</f>
        <v>0</v>
      </c>
      <c r="I25" s="26"/>
      <c r="J25" s="26"/>
      <c r="K25" s="29"/>
      <c r="L25" s="40"/>
      <c r="M25" s="41"/>
    </row>
    <row r="26" spans="1:16" s="32" customFormat="1" ht="17.25" customHeight="1">
      <c r="A26" s="33"/>
      <c r="B26" s="56" t="s">
        <v>44</v>
      </c>
      <c r="C26" s="53" t="s">
        <v>45</v>
      </c>
      <c r="D26" s="25">
        <v>18</v>
      </c>
      <c r="E26" s="57">
        <v>45</v>
      </c>
      <c r="F26" s="58">
        <v>48</v>
      </c>
      <c r="G26" s="47">
        <v>21</v>
      </c>
      <c r="H26" s="47">
        <f>F26</f>
        <v>48</v>
      </c>
      <c r="I26" s="26">
        <v>103</v>
      </c>
      <c r="J26" s="26">
        <f t="shared" ref="J26:J40" si="1">G26/D26*100</f>
        <v>116.66666666666667</v>
      </c>
      <c r="K26" s="29">
        <f t="shared" ref="K26:K40" si="2">G26/F26*100</f>
        <v>43.75</v>
      </c>
      <c r="L26" s="40">
        <f t="shared" ref="L26:L40" si="3">(H26/F26)*100</f>
        <v>100</v>
      </c>
      <c r="M26" s="41">
        <f t="shared" ref="M26:M38" si="4">I26/F26*100</f>
        <v>214.58333333333334</v>
      </c>
    </row>
    <row r="27" spans="1:16" s="32" customFormat="1" ht="17.25" customHeight="1">
      <c r="A27" s="33"/>
      <c r="B27" s="56" t="s">
        <v>46</v>
      </c>
      <c r="C27" s="53" t="s">
        <v>45</v>
      </c>
      <c r="D27" s="25">
        <v>139.25</v>
      </c>
      <c r="E27" s="57">
        <v>382.33333333333331</v>
      </c>
      <c r="F27" s="58">
        <v>450</v>
      </c>
      <c r="G27" s="47">
        <v>130</v>
      </c>
      <c r="H27" s="47">
        <f t="shared" ref="H27:H32" si="5">F27</f>
        <v>450</v>
      </c>
      <c r="I27" s="26">
        <v>450</v>
      </c>
      <c r="J27" s="26">
        <f t="shared" si="1"/>
        <v>93.357271095152612</v>
      </c>
      <c r="K27" s="29">
        <f t="shared" si="2"/>
        <v>28.888888888888886</v>
      </c>
      <c r="L27" s="40">
        <f t="shared" si="3"/>
        <v>100</v>
      </c>
      <c r="M27" s="41">
        <f t="shared" si="4"/>
        <v>100</v>
      </c>
      <c r="O27" s="59">
        <v>9300</v>
      </c>
      <c r="P27" s="60">
        <f>O27*250000</f>
        <v>2325000000</v>
      </c>
    </row>
    <row r="28" spans="1:16" s="32" customFormat="1" ht="17.25" hidden="1" customHeight="1">
      <c r="A28" s="33"/>
      <c r="B28" s="56" t="s">
        <v>47</v>
      </c>
      <c r="C28" s="53" t="s">
        <v>48</v>
      </c>
      <c r="D28" s="25"/>
      <c r="E28" s="57"/>
      <c r="F28" s="58"/>
      <c r="G28" s="47"/>
      <c r="H28" s="47">
        <f t="shared" si="5"/>
        <v>0</v>
      </c>
      <c r="I28" s="26">
        <v>17.5</v>
      </c>
      <c r="J28" s="26"/>
      <c r="K28" s="29"/>
      <c r="L28" s="40"/>
      <c r="M28" s="41" t="e">
        <f t="shared" si="4"/>
        <v>#DIV/0!</v>
      </c>
    </row>
    <row r="29" spans="1:16" s="32" customFormat="1" ht="17.25" customHeight="1">
      <c r="A29" s="33"/>
      <c r="B29" s="56" t="s">
        <v>49</v>
      </c>
      <c r="C29" s="53" t="s">
        <v>50</v>
      </c>
      <c r="D29" s="25">
        <v>1910</v>
      </c>
      <c r="E29" s="27">
        <v>3915.5</v>
      </c>
      <c r="F29" s="27">
        <v>4230</v>
      </c>
      <c r="G29" s="47">
        <v>2200</v>
      </c>
      <c r="H29" s="47">
        <f t="shared" si="5"/>
        <v>4230</v>
      </c>
      <c r="I29" s="27">
        <v>3820</v>
      </c>
      <c r="J29" s="26">
        <f t="shared" si="1"/>
        <v>115.18324607329843</v>
      </c>
      <c r="K29" s="29">
        <f t="shared" si="2"/>
        <v>52.009456264775409</v>
      </c>
      <c r="L29" s="40">
        <f t="shared" si="3"/>
        <v>100</v>
      </c>
      <c r="M29" s="41">
        <f t="shared" si="4"/>
        <v>90.307328605200937</v>
      </c>
    </row>
    <row r="30" spans="1:16" s="32" customFormat="1" ht="17.25" customHeight="1">
      <c r="A30" s="33"/>
      <c r="B30" s="56" t="s">
        <v>51</v>
      </c>
      <c r="C30" s="53" t="s">
        <v>52</v>
      </c>
      <c r="D30" s="25">
        <v>36</v>
      </c>
      <c r="E30" s="57">
        <v>74.400000000000006</v>
      </c>
      <c r="F30" s="58">
        <v>80</v>
      </c>
      <c r="G30" s="47">
        <v>41</v>
      </c>
      <c r="H30" s="47">
        <f t="shared" si="5"/>
        <v>80</v>
      </c>
      <c r="I30" s="26">
        <v>62</v>
      </c>
      <c r="J30" s="26">
        <f t="shared" si="1"/>
        <v>113.88888888888889</v>
      </c>
      <c r="K30" s="29">
        <f t="shared" si="2"/>
        <v>51.249999999999993</v>
      </c>
      <c r="L30" s="40">
        <f t="shared" si="3"/>
        <v>100</v>
      </c>
      <c r="M30" s="41">
        <f t="shared" si="4"/>
        <v>77.5</v>
      </c>
    </row>
    <row r="31" spans="1:16" s="109" customFormat="1" ht="17.25" customHeight="1">
      <c r="A31" s="99"/>
      <c r="B31" s="100" t="s">
        <v>53</v>
      </c>
      <c r="C31" s="101" t="s">
        <v>54</v>
      </c>
      <c r="D31" s="102">
        <v>20000</v>
      </c>
      <c r="E31" s="103">
        <v>42000</v>
      </c>
      <c r="F31" s="103">
        <v>45000</v>
      </c>
      <c r="G31" s="104">
        <v>16000</v>
      </c>
      <c r="H31" s="104">
        <v>38000</v>
      </c>
      <c r="I31" s="103">
        <v>51500</v>
      </c>
      <c r="J31" s="105">
        <f t="shared" si="1"/>
        <v>80</v>
      </c>
      <c r="K31" s="106">
        <f t="shared" si="2"/>
        <v>35.555555555555557</v>
      </c>
      <c r="L31" s="107">
        <f t="shared" si="3"/>
        <v>84.444444444444443</v>
      </c>
      <c r="M31" s="108">
        <f t="shared" si="4"/>
        <v>114.44444444444444</v>
      </c>
      <c r="O31" s="109">
        <f>4000</f>
        <v>4000</v>
      </c>
      <c r="P31" s="110">
        <f>O31*12000000</f>
        <v>48000000000</v>
      </c>
    </row>
    <row r="32" spans="1:16" s="32" customFormat="1" ht="17.25" customHeight="1">
      <c r="A32" s="33"/>
      <c r="B32" s="56" t="s">
        <v>55</v>
      </c>
      <c r="C32" s="53" t="s">
        <v>56</v>
      </c>
      <c r="D32" s="25">
        <v>11</v>
      </c>
      <c r="E32" s="57">
        <v>20.333333333333332</v>
      </c>
      <c r="F32" s="58">
        <v>22.5</v>
      </c>
      <c r="G32" s="47">
        <v>12</v>
      </c>
      <c r="H32" s="28">
        <f t="shared" si="5"/>
        <v>22.5</v>
      </c>
      <c r="I32" s="26">
        <v>18</v>
      </c>
      <c r="J32" s="26">
        <f t="shared" si="1"/>
        <v>109.09090909090908</v>
      </c>
      <c r="K32" s="29">
        <f t="shared" si="2"/>
        <v>53.333333333333336</v>
      </c>
      <c r="L32" s="40">
        <f t="shared" si="3"/>
        <v>100</v>
      </c>
      <c r="M32" s="41">
        <f t="shared" si="4"/>
        <v>80</v>
      </c>
      <c r="O32" s="32">
        <f>16000*12</f>
        <v>192000</v>
      </c>
    </row>
    <row r="33" spans="1:18" s="32" customFormat="1" ht="17.25" customHeight="1">
      <c r="A33" s="33"/>
      <c r="B33" s="56" t="s">
        <v>57</v>
      </c>
      <c r="C33" s="53" t="s">
        <v>58</v>
      </c>
      <c r="D33" s="36">
        <v>67</v>
      </c>
      <c r="E33" s="57">
        <v>133.25000000000003</v>
      </c>
      <c r="F33" s="58">
        <v>150</v>
      </c>
      <c r="G33" s="47">
        <v>80</v>
      </c>
      <c r="H33" s="28">
        <v>170</v>
      </c>
      <c r="I33" s="26">
        <v>123</v>
      </c>
      <c r="J33" s="26">
        <f t="shared" si="1"/>
        <v>119.40298507462686</v>
      </c>
      <c r="K33" s="29">
        <f t="shared" si="2"/>
        <v>53.333333333333336</v>
      </c>
      <c r="L33" s="61">
        <f t="shared" si="3"/>
        <v>113.33333333333333</v>
      </c>
      <c r="M33" s="41">
        <f t="shared" si="4"/>
        <v>82</v>
      </c>
      <c r="R33" s="32" t="s">
        <v>120</v>
      </c>
    </row>
    <row r="34" spans="1:18" s="32" customFormat="1" ht="17.25" customHeight="1">
      <c r="A34" s="33"/>
      <c r="B34" s="56" t="s">
        <v>59</v>
      </c>
      <c r="C34" s="53" t="s">
        <v>60</v>
      </c>
      <c r="D34" s="25">
        <v>3.2583333333333302</v>
      </c>
      <c r="E34" s="57">
        <v>7.1166666666666671</v>
      </c>
      <c r="F34" s="57">
        <v>7.15</v>
      </c>
      <c r="G34" s="47">
        <v>3.7</v>
      </c>
      <c r="H34" s="28">
        <v>7.5</v>
      </c>
      <c r="I34" s="26">
        <v>7</v>
      </c>
      <c r="J34" s="26">
        <f t="shared" si="1"/>
        <v>113.55498721227633</v>
      </c>
      <c r="K34" s="29">
        <f t="shared" si="2"/>
        <v>51.748251748251747</v>
      </c>
      <c r="L34" s="61">
        <f t="shared" si="3"/>
        <v>104.89510489510489</v>
      </c>
      <c r="M34" s="41">
        <f t="shared" si="4"/>
        <v>97.902097902097893</v>
      </c>
      <c r="R34" s="32">
        <v>419.4</v>
      </c>
    </row>
    <row r="35" spans="1:18" s="32" customFormat="1" ht="17.25" customHeight="1">
      <c r="A35" s="33"/>
      <c r="B35" s="56" t="s">
        <v>61</v>
      </c>
      <c r="C35" s="53" t="s">
        <v>62</v>
      </c>
      <c r="D35" s="25">
        <v>13.25</v>
      </c>
      <c r="E35" s="57">
        <v>30.5</v>
      </c>
      <c r="F35" s="58">
        <v>35</v>
      </c>
      <c r="G35" s="47">
        <v>14.5</v>
      </c>
      <c r="H35" s="28">
        <v>36</v>
      </c>
      <c r="I35" s="27">
        <v>30</v>
      </c>
      <c r="J35" s="26">
        <f t="shared" si="1"/>
        <v>109.43396226415094</v>
      </c>
      <c r="K35" s="29">
        <f t="shared" si="2"/>
        <v>41.428571428571431</v>
      </c>
      <c r="L35" s="61">
        <f t="shared" si="3"/>
        <v>102.85714285714285</v>
      </c>
      <c r="M35" s="41">
        <f t="shared" si="4"/>
        <v>85.714285714285708</v>
      </c>
      <c r="R35" s="120">
        <f>66/(66+419.4)*100</f>
        <v>13.597033374536466</v>
      </c>
    </row>
    <row r="36" spans="1:18" s="32" customFormat="1" ht="17.25" customHeight="1">
      <c r="A36" s="33"/>
      <c r="B36" s="56" t="s">
        <v>63</v>
      </c>
      <c r="C36" s="53" t="s">
        <v>62</v>
      </c>
      <c r="D36" s="25">
        <v>18.133333333333301</v>
      </c>
      <c r="E36" s="57">
        <v>38.633333333333326</v>
      </c>
      <c r="F36" s="62">
        <v>43</v>
      </c>
      <c r="G36" s="47">
        <v>18.5</v>
      </c>
      <c r="H36" s="28">
        <v>45</v>
      </c>
      <c r="I36" s="27">
        <v>34</v>
      </c>
      <c r="J36" s="26">
        <f t="shared" si="1"/>
        <v>102.02205882352959</v>
      </c>
      <c r="K36" s="29">
        <f t="shared" si="2"/>
        <v>43.02325581395349</v>
      </c>
      <c r="L36" s="61">
        <f t="shared" si="3"/>
        <v>104.65116279069768</v>
      </c>
      <c r="M36" s="41">
        <f t="shared" si="4"/>
        <v>79.069767441860463</v>
      </c>
    </row>
    <row r="37" spans="1:18" s="32" customFormat="1" ht="17.25" customHeight="1">
      <c r="A37" s="33"/>
      <c r="B37" s="56" t="s">
        <v>64</v>
      </c>
      <c r="C37" s="53" t="s">
        <v>65</v>
      </c>
      <c r="D37" s="25">
        <v>2.2999999999999998</v>
      </c>
      <c r="E37" s="49">
        <v>5</v>
      </c>
      <c r="F37" s="49">
        <v>5</v>
      </c>
      <c r="G37" s="47">
        <v>2.2999999999999998</v>
      </c>
      <c r="H37" s="47">
        <v>5.5</v>
      </c>
      <c r="I37" s="26">
        <v>5</v>
      </c>
      <c r="J37" s="26">
        <f t="shared" si="1"/>
        <v>100</v>
      </c>
      <c r="K37" s="29">
        <f t="shared" si="2"/>
        <v>46</v>
      </c>
      <c r="L37" s="40">
        <f t="shared" si="3"/>
        <v>110.00000000000001</v>
      </c>
      <c r="M37" s="41">
        <f t="shared" si="4"/>
        <v>100</v>
      </c>
    </row>
    <row r="38" spans="1:18" s="113" customFormat="1" ht="17.25" customHeight="1">
      <c r="A38" s="99"/>
      <c r="B38" s="100" t="s">
        <v>66</v>
      </c>
      <c r="C38" s="101" t="s">
        <v>67</v>
      </c>
      <c r="D38" s="111">
        <v>35.299999999999997</v>
      </c>
      <c r="E38" s="105">
        <v>98</v>
      </c>
      <c r="F38" s="103">
        <v>105</v>
      </c>
      <c r="G38" s="105">
        <v>27</v>
      </c>
      <c r="H38" s="103">
        <v>105</v>
      </c>
      <c r="I38" s="105">
        <v>105</v>
      </c>
      <c r="J38" s="105">
        <f t="shared" si="1"/>
        <v>76.487252124645906</v>
      </c>
      <c r="K38" s="106">
        <f t="shared" si="2"/>
        <v>25.714285714285712</v>
      </c>
      <c r="L38" s="112">
        <f t="shared" si="3"/>
        <v>100</v>
      </c>
      <c r="M38" s="108">
        <f t="shared" si="4"/>
        <v>100</v>
      </c>
      <c r="O38" s="114">
        <v>8300000</v>
      </c>
      <c r="P38" s="115">
        <f>O38*1539</f>
        <v>12773700000</v>
      </c>
    </row>
    <row r="39" spans="1:18" s="32" customFormat="1" ht="17.25" customHeight="1">
      <c r="A39" s="33"/>
      <c r="B39" s="63" t="s">
        <v>68</v>
      </c>
      <c r="C39" s="53" t="s">
        <v>69</v>
      </c>
      <c r="D39" s="36">
        <v>0</v>
      </c>
      <c r="E39" s="43">
        <v>2.5499999999999998</v>
      </c>
      <c r="F39" s="49"/>
      <c r="G39" s="47">
        <f>H39/12*3</f>
        <v>0</v>
      </c>
      <c r="H39" s="28"/>
      <c r="I39" s="26"/>
      <c r="J39" s="26"/>
      <c r="K39" s="29"/>
      <c r="L39" s="40"/>
      <c r="M39" s="41"/>
      <c r="P39" s="60"/>
    </row>
    <row r="40" spans="1:18" s="32" customFormat="1" ht="17.25" customHeight="1">
      <c r="A40" s="33"/>
      <c r="B40" s="63" t="s">
        <v>70</v>
      </c>
      <c r="C40" s="53" t="s">
        <v>71</v>
      </c>
      <c r="D40" s="25">
        <v>16.3</v>
      </c>
      <c r="E40" s="49">
        <v>33</v>
      </c>
      <c r="F40" s="62">
        <v>35</v>
      </c>
      <c r="G40" s="47">
        <v>20</v>
      </c>
      <c r="H40" s="64">
        <v>37</v>
      </c>
      <c r="I40" s="26"/>
      <c r="J40" s="26">
        <f t="shared" si="1"/>
        <v>122.69938650306749</v>
      </c>
      <c r="K40" s="29">
        <f t="shared" si="2"/>
        <v>57.142857142857139</v>
      </c>
      <c r="L40" s="61">
        <f t="shared" si="3"/>
        <v>105.71428571428572</v>
      </c>
      <c r="M40" s="41"/>
      <c r="P40" s="60"/>
    </row>
    <row r="41" spans="1:18" s="32" customFormat="1" ht="17.25" hidden="1" customHeight="1">
      <c r="A41" s="33"/>
      <c r="B41" s="56" t="s">
        <v>72</v>
      </c>
      <c r="C41" s="53" t="s">
        <v>73</v>
      </c>
      <c r="D41" s="36">
        <v>0</v>
      </c>
      <c r="E41" s="27"/>
      <c r="F41" s="49"/>
      <c r="G41" s="47">
        <v>0</v>
      </c>
      <c r="H41" s="47">
        <f t="shared" ref="H41:H60" si="6">F41</f>
        <v>0</v>
      </c>
      <c r="I41" s="26">
        <v>26</v>
      </c>
      <c r="J41" s="26"/>
      <c r="K41" s="29"/>
      <c r="L41" s="40"/>
      <c r="M41" s="41"/>
      <c r="P41" s="60"/>
    </row>
    <row r="42" spans="1:18" s="32" customFormat="1" ht="17.25" customHeight="1">
      <c r="A42" s="33"/>
      <c r="B42" s="56" t="s">
        <v>74</v>
      </c>
      <c r="C42" s="53" t="s">
        <v>75</v>
      </c>
      <c r="D42" s="25">
        <v>155.85</v>
      </c>
      <c r="E42" s="26">
        <v>321.85000000000002</v>
      </c>
      <c r="F42" s="26">
        <v>350</v>
      </c>
      <c r="G42" s="47">
        <v>177</v>
      </c>
      <c r="H42" s="47">
        <v>370</v>
      </c>
      <c r="I42" s="26">
        <v>314</v>
      </c>
      <c r="J42" s="26">
        <f>G42/D42*100</f>
        <v>113.57074109720887</v>
      </c>
      <c r="K42" s="29">
        <f>G42/F42*100</f>
        <v>50.571428571428569</v>
      </c>
      <c r="L42" s="61">
        <f>(H42/F42)*100</f>
        <v>105.71428571428572</v>
      </c>
      <c r="M42" s="41">
        <f>I42/F42*100</f>
        <v>89.714285714285708</v>
      </c>
      <c r="P42" s="60"/>
    </row>
    <row r="43" spans="1:18" s="32" customFormat="1" ht="17.25" hidden="1" customHeight="1">
      <c r="A43" s="33"/>
      <c r="B43" s="50" t="s">
        <v>76</v>
      </c>
      <c r="C43" s="53" t="s">
        <v>77</v>
      </c>
      <c r="D43" s="36"/>
      <c r="E43" s="57"/>
      <c r="F43" s="57"/>
      <c r="G43" s="47"/>
      <c r="H43" s="47">
        <f t="shared" si="6"/>
        <v>0</v>
      </c>
      <c r="I43" s="26">
        <v>19</v>
      </c>
      <c r="J43" s="26"/>
      <c r="K43" s="29"/>
      <c r="L43" s="40" t="e">
        <f>(H43/F43)*100</f>
        <v>#DIV/0!</v>
      </c>
      <c r="M43" s="41"/>
      <c r="P43" s="60"/>
    </row>
    <row r="44" spans="1:18" s="109" customFormat="1" ht="17.25" customHeight="1">
      <c r="A44" s="99"/>
      <c r="B44" s="116" t="s">
        <v>78</v>
      </c>
      <c r="C44" s="101" t="s">
        <v>50</v>
      </c>
      <c r="D44" s="102">
        <v>895</v>
      </c>
      <c r="E44" s="117">
        <v>1860</v>
      </c>
      <c r="F44" s="117">
        <v>2000</v>
      </c>
      <c r="G44" s="118">
        <v>772</v>
      </c>
      <c r="H44" s="104">
        <v>1500</v>
      </c>
      <c r="I44" s="117">
        <v>1800</v>
      </c>
      <c r="J44" s="105">
        <f>G44/D44*100</f>
        <v>86.256983240223462</v>
      </c>
      <c r="K44" s="106">
        <f>G44/F44*100</f>
        <v>38.6</v>
      </c>
      <c r="L44" s="112">
        <f>(H44/F44)*100</f>
        <v>75</v>
      </c>
      <c r="M44" s="108">
        <f>I44/F44*100</f>
        <v>90</v>
      </c>
      <c r="O44" s="119">
        <v>123</v>
      </c>
      <c r="P44" s="110">
        <f>O44*3500000</f>
        <v>430500000</v>
      </c>
    </row>
    <row r="45" spans="1:18" s="32" customFormat="1" ht="17.25" customHeight="1">
      <c r="A45" s="33"/>
      <c r="B45" s="50" t="s">
        <v>79</v>
      </c>
      <c r="C45" s="53" t="s">
        <v>80</v>
      </c>
      <c r="D45" s="25">
        <v>4.5999999999999996</v>
      </c>
      <c r="E45" s="66">
        <v>9.3000000000000007</v>
      </c>
      <c r="F45" s="65">
        <v>10.5</v>
      </c>
      <c r="G45" s="47">
        <v>3.5</v>
      </c>
      <c r="H45" s="28">
        <f t="shared" si="6"/>
        <v>10.5</v>
      </c>
      <c r="I45" s="26">
        <v>12.5</v>
      </c>
      <c r="J45" s="26">
        <f>G45/D45*100</f>
        <v>76.08695652173914</v>
      </c>
      <c r="K45" s="29">
        <f>G45/F45*100</f>
        <v>33.333333333333329</v>
      </c>
      <c r="L45" s="40">
        <f>(H45/F45)*100</f>
        <v>100</v>
      </c>
      <c r="M45" s="41">
        <f>I45/F45*100</f>
        <v>119.04761904761905</v>
      </c>
      <c r="O45" s="59">
        <f>D45-G45</f>
        <v>1.0999999999999996</v>
      </c>
      <c r="P45" s="60">
        <f>O45*2500000000</f>
        <v>2749999999.999999</v>
      </c>
    </row>
    <row r="46" spans="1:18" s="42" customFormat="1" ht="13.8">
      <c r="A46" s="67">
        <v>4</v>
      </c>
      <c r="B46" s="68" t="s">
        <v>81</v>
      </c>
      <c r="C46" s="53"/>
      <c r="D46" s="53">
        <v>0</v>
      </c>
      <c r="E46" s="50"/>
      <c r="F46" s="50">
        <v>0</v>
      </c>
      <c r="G46" s="47">
        <f>H46/12*10</f>
        <v>0</v>
      </c>
      <c r="H46" s="28">
        <f t="shared" si="6"/>
        <v>0</v>
      </c>
      <c r="I46" s="27"/>
      <c r="J46" s="29"/>
      <c r="K46" s="29"/>
      <c r="L46" s="40"/>
      <c r="M46" s="41"/>
      <c r="O46" s="69">
        <v>1100</v>
      </c>
      <c r="P46" s="70">
        <f>O46*2500000</f>
        <v>2750000000</v>
      </c>
    </row>
    <row r="47" spans="1:18" s="32" customFormat="1" ht="13.8">
      <c r="A47" s="33"/>
      <c r="B47" s="63" t="s">
        <v>82</v>
      </c>
      <c r="C47" s="53" t="s">
        <v>83</v>
      </c>
      <c r="D47" s="71">
        <v>133.23333333333301</v>
      </c>
      <c r="E47" s="72">
        <v>268</v>
      </c>
      <c r="F47" s="72">
        <v>301</v>
      </c>
      <c r="G47" s="47">
        <v>153</v>
      </c>
      <c r="H47" s="73">
        <v>310</v>
      </c>
      <c r="I47" s="27">
        <v>268</v>
      </c>
      <c r="J47" s="26">
        <f t="shared" ref="J47:J52" si="7">G47/D47*100</f>
        <v>114.83612709532179</v>
      </c>
      <c r="K47" s="29">
        <f t="shared" ref="K47:K52" si="8">G47/F47*100</f>
        <v>50.830564784053159</v>
      </c>
      <c r="L47" s="61">
        <f t="shared" ref="L47:L52" si="9">(H47/F47)*100</f>
        <v>102.99003322259136</v>
      </c>
      <c r="M47" s="41">
        <f t="shared" ref="M47:M52" si="10">I47/F47*100</f>
        <v>89.036544850498331</v>
      </c>
      <c r="P47" s="60"/>
    </row>
    <row r="48" spans="1:18" s="32" customFormat="1" ht="13.8">
      <c r="A48" s="33"/>
      <c r="B48" s="63" t="s">
        <v>84</v>
      </c>
      <c r="C48" s="53" t="s">
        <v>85</v>
      </c>
      <c r="D48" s="71">
        <v>20.5</v>
      </c>
      <c r="E48" s="72">
        <v>42</v>
      </c>
      <c r="F48" s="72">
        <v>46</v>
      </c>
      <c r="G48" s="47">
        <v>24</v>
      </c>
      <c r="H48" s="73">
        <v>47</v>
      </c>
      <c r="I48" s="27">
        <v>42</v>
      </c>
      <c r="J48" s="26">
        <f t="shared" si="7"/>
        <v>117.07317073170731</v>
      </c>
      <c r="K48" s="29">
        <f t="shared" si="8"/>
        <v>52.173913043478258</v>
      </c>
      <c r="L48" s="61">
        <f t="shared" si="9"/>
        <v>102.17391304347827</v>
      </c>
      <c r="M48" s="41">
        <f t="shared" si="10"/>
        <v>91.304347826086953</v>
      </c>
      <c r="O48" s="32" t="s">
        <v>21</v>
      </c>
      <c r="P48" s="60">
        <f>SUM(P27:P47)</f>
        <v>69029200000</v>
      </c>
    </row>
    <row r="49" spans="1:16" s="32" customFormat="1" ht="13.8">
      <c r="A49" s="33"/>
      <c r="B49" s="63" t="s">
        <v>86</v>
      </c>
      <c r="C49" s="53" t="s">
        <v>87</v>
      </c>
      <c r="D49" s="71">
        <v>140.566666666667</v>
      </c>
      <c r="E49" s="72">
        <v>274</v>
      </c>
      <c r="F49" s="72">
        <v>305</v>
      </c>
      <c r="G49" s="47">
        <v>156</v>
      </c>
      <c r="H49" s="73">
        <v>310</v>
      </c>
      <c r="I49" s="27">
        <v>274</v>
      </c>
      <c r="J49" s="26">
        <f t="shared" si="7"/>
        <v>110.97936921982425</v>
      </c>
      <c r="K49" s="29">
        <f t="shared" si="8"/>
        <v>51.147540983606554</v>
      </c>
      <c r="L49" s="61">
        <f t="shared" si="9"/>
        <v>101.63934426229508</v>
      </c>
      <c r="M49" s="41">
        <f t="shared" si="10"/>
        <v>89.836065573770497</v>
      </c>
      <c r="O49" s="32" t="s">
        <v>88</v>
      </c>
      <c r="P49" s="74">
        <v>44.1</v>
      </c>
    </row>
    <row r="50" spans="1:16" s="32" customFormat="1" ht="13.8">
      <c r="A50" s="33"/>
      <c r="B50" s="63" t="s">
        <v>89</v>
      </c>
      <c r="C50" s="53" t="s">
        <v>90</v>
      </c>
      <c r="D50" s="71">
        <v>82.066666666666706</v>
      </c>
      <c r="E50" s="72">
        <v>160</v>
      </c>
      <c r="F50" s="72">
        <v>180</v>
      </c>
      <c r="G50" s="47">
        <v>91</v>
      </c>
      <c r="H50" s="73">
        <v>190</v>
      </c>
      <c r="I50" s="27">
        <v>160</v>
      </c>
      <c r="J50" s="26">
        <f t="shared" si="7"/>
        <v>110.88545897644187</v>
      </c>
      <c r="K50" s="29">
        <f t="shared" si="8"/>
        <v>50.555555555555557</v>
      </c>
      <c r="L50" s="61">
        <f t="shared" si="9"/>
        <v>105.55555555555556</v>
      </c>
      <c r="M50" s="41">
        <f t="shared" si="10"/>
        <v>88.888888888888886</v>
      </c>
    </row>
    <row r="51" spans="1:16" s="32" customFormat="1" ht="13.8">
      <c r="A51" s="33"/>
      <c r="B51" s="63" t="s">
        <v>91</v>
      </c>
      <c r="C51" s="53" t="s">
        <v>7</v>
      </c>
      <c r="D51" s="71">
        <v>19.8</v>
      </c>
      <c r="E51" s="72">
        <v>39</v>
      </c>
      <c r="F51" s="72">
        <v>44</v>
      </c>
      <c r="G51" s="47">
        <v>22.4</v>
      </c>
      <c r="H51" s="73">
        <v>45</v>
      </c>
      <c r="I51" s="27">
        <v>39</v>
      </c>
      <c r="J51" s="26">
        <f t="shared" si="7"/>
        <v>113.13131313131312</v>
      </c>
      <c r="K51" s="29">
        <f t="shared" si="8"/>
        <v>50.909090909090907</v>
      </c>
      <c r="L51" s="61">
        <f t="shared" si="9"/>
        <v>102.27272727272727</v>
      </c>
      <c r="M51" s="41">
        <f t="shared" si="10"/>
        <v>88.63636363636364</v>
      </c>
    </row>
    <row r="52" spans="1:16" s="32" customFormat="1" ht="21" customHeight="1">
      <c r="A52" s="33"/>
      <c r="B52" s="63" t="s">
        <v>92</v>
      </c>
      <c r="C52" s="53" t="s">
        <v>7</v>
      </c>
      <c r="D52" s="71">
        <v>14.266666666666699</v>
      </c>
      <c r="E52" s="72">
        <v>28</v>
      </c>
      <c r="F52" s="72">
        <v>32</v>
      </c>
      <c r="G52" s="47">
        <v>16.3</v>
      </c>
      <c r="H52" s="73">
        <v>32.5</v>
      </c>
      <c r="I52" s="27">
        <v>28</v>
      </c>
      <c r="J52" s="26">
        <f t="shared" si="7"/>
        <v>114.25233644859787</v>
      </c>
      <c r="K52" s="29">
        <f t="shared" si="8"/>
        <v>50.9375</v>
      </c>
      <c r="L52" s="61">
        <f t="shared" si="9"/>
        <v>101.5625</v>
      </c>
      <c r="M52" s="41">
        <f t="shared" si="10"/>
        <v>87.5</v>
      </c>
    </row>
    <row r="53" spans="1:16" s="42" customFormat="1" ht="13.8">
      <c r="A53" s="33">
        <v>5</v>
      </c>
      <c r="B53" s="23" t="s">
        <v>93</v>
      </c>
      <c r="C53" s="35"/>
      <c r="D53" s="35">
        <v>0</v>
      </c>
      <c r="E53" s="50"/>
      <c r="F53" s="50">
        <v>0</v>
      </c>
      <c r="G53" s="47">
        <f>H53/12*3</f>
        <v>0</v>
      </c>
      <c r="H53" s="28">
        <f t="shared" si="6"/>
        <v>0</v>
      </c>
      <c r="I53" s="27"/>
      <c r="J53" s="29"/>
      <c r="K53" s="29"/>
      <c r="L53" s="40"/>
      <c r="M53" s="41"/>
    </row>
    <row r="54" spans="1:16" s="42" customFormat="1" ht="17.25" customHeight="1">
      <c r="A54" s="33"/>
      <c r="B54" s="56" t="s">
        <v>94</v>
      </c>
      <c r="C54" s="35" t="s">
        <v>0</v>
      </c>
      <c r="D54" s="71">
        <v>100</v>
      </c>
      <c r="E54" s="57">
        <v>100</v>
      </c>
      <c r="F54" s="27">
        <v>100</v>
      </c>
      <c r="G54" s="75">
        <v>100</v>
      </c>
      <c r="H54" s="28">
        <f t="shared" si="6"/>
        <v>100</v>
      </c>
      <c r="I54" s="27">
        <v>100</v>
      </c>
      <c r="J54" s="29"/>
      <c r="K54" s="29"/>
      <c r="L54" s="40"/>
      <c r="M54" s="41">
        <f>I54/F54*100</f>
        <v>100</v>
      </c>
    </row>
    <row r="55" spans="1:16" s="42" customFormat="1" ht="34.5" customHeight="1">
      <c r="A55" s="33"/>
      <c r="B55" s="56" t="s">
        <v>95</v>
      </c>
      <c r="C55" s="35" t="s">
        <v>0</v>
      </c>
      <c r="D55" s="71">
        <v>98.5</v>
      </c>
      <c r="E55" s="27">
        <v>99</v>
      </c>
      <c r="F55" s="27">
        <v>99</v>
      </c>
      <c r="G55" s="75">
        <v>98.5</v>
      </c>
      <c r="H55" s="76">
        <v>99</v>
      </c>
      <c r="I55" s="27">
        <v>99</v>
      </c>
      <c r="J55" s="29"/>
      <c r="K55" s="29"/>
      <c r="L55" s="40"/>
      <c r="M55" s="41">
        <f>I55/F55*100</f>
        <v>100</v>
      </c>
    </row>
    <row r="56" spans="1:16" s="42" customFormat="1" ht="17.25" customHeight="1">
      <c r="A56" s="33"/>
      <c r="B56" s="56" t="s">
        <v>96</v>
      </c>
      <c r="C56" s="35" t="s">
        <v>0</v>
      </c>
      <c r="D56" s="71">
        <v>98.4</v>
      </c>
      <c r="E56" s="27">
        <v>99</v>
      </c>
      <c r="F56" s="27">
        <v>99</v>
      </c>
      <c r="G56" s="76">
        <v>99</v>
      </c>
      <c r="H56" s="76">
        <f t="shared" si="6"/>
        <v>99</v>
      </c>
      <c r="I56" s="27">
        <v>99</v>
      </c>
      <c r="J56" s="77"/>
      <c r="K56" s="29"/>
      <c r="L56" s="40"/>
      <c r="M56" s="41">
        <f>I56/F56*100</f>
        <v>100</v>
      </c>
    </row>
    <row r="57" spans="1:16" ht="17.25" customHeight="1">
      <c r="A57" s="78"/>
      <c r="B57" s="56" t="s">
        <v>97</v>
      </c>
      <c r="C57" s="79" t="s">
        <v>98</v>
      </c>
      <c r="D57" s="71">
        <v>11</v>
      </c>
      <c r="E57" s="57">
        <v>11</v>
      </c>
      <c r="F57" s="27">
        <v>12</v>
      </c>
      <c r="G57" s="75">
        <v>11</v>
      </c>
      <c r="H57" s="28">
        <f t="shared" si="6"/>
        <v>12</v>
      </c>
      <c r="I57" s="27">
        <v>11</v>
      </c>
      <c r="J57" s="29"/>
      <c r="K57" s="29"/>
      <c r="L57" s="40"/>
      <c r="M57" s="41">
        <f>I57/F57*100</f>
        <v>91.666666666666657</v>
      </c>
    </row>
    <row r="58" spans="1:16" ht="17.25" customHeight="1">
      <c r="A58" s="78"/>
      <c r="B58" s="56" t="s">
        <v>99</v>
      </c>
      <c r="C58" s="80" t="s">
        <v>100</v>
      </c>
      <c r="D58" s="71">
        <v>67.3</v>
      </c>
      <c r="E58" s="57">
        <v>67.3</v>
      </c>
      <c r="F58" s="57">
        <v>67.3</v>
      </c>
      <c r="G58" s="75">
        <v>67.3</v>
      </c>
      <c r="H58" s="75">
        <f t="shared" si="6"/>
        <v>67.3</v>
      </c>
      <c r="I58" s="57">
        <v>67.3</v>
      </c>
      <c r="J58" s="29"/>
      <c r="K58" s="29"/>
      <c r="L58" s="40"/>
      <c r="M58" s="41"/>
    </row>
    <row r="59" spans="1:16" ht="17.25" customHeight="1">
      <c r="A59" s="78"/>
      <c r="B59" s="56" t="s">
        <v>101</v>
      </c>
      <c r="C59" s="80" t="s">
        <v>100</v>
      </c>
      <c r="D59" s="71">
        <v>80</v>
      </c>
      <c r="E59" s="57">
        <v>80</v>
      </c>
      <c r="F59" s="57">
        <v>80</v>
      </c>
      <c r="G59" s="75">
        <v>80</v>
      </c>
      <c r="H59" s="75">
        <f t="shared" si="6"/>
        <v>80</v>
      </c>
      <c r="I59" s="57">
        <f>+H59</f>
        <v>80</v>
      </c>
      <c r="J59" s="29"/>
      <c r="K59" s="29"/>
      <c r="L59" s="40"/>
      <c r="M59" s="41"/>
    </row>
    <row r="60" spans="1:16" ht="17.25" customHeight="1">
      <c r="A60" s="78"/>
      <c r="B60" s="56" t="s">
        <v>102</v>
      </c>
      <c r="C60" s="80" t="s">
        <v>100</v>
      </c>
      <c r="D60" s="81">
        <v>80.959999999999994</v>
      </c>
      <c r="E60" s="82">
        <v>80.959999999999994</v>
      </c>
      <c r="F60" s="82">
        <v>80.959999999999994</v>
      </c>
      <c r="G60" s="83">
        <v>80.959999999999994</v>
      </c>
      <c r="H60" s="83">
        <f t="shared" si="6"/>
        <v>80.959999999999994</v>
      </c>
      <c r="I60" s="82">
        <f>+H60</f>
        <v>80.959999999999994</v>
      </c>
      <c r="J60" s="29"/>
      <c r="K60" s="29"/>
      <c r="L60" s="40"/>
      <c r="M60" s="41"/>
    </row>
    <row r="61" spans="1:16" ht="13.8">
      <c r="A61" s="78"/>
      <c r="B61" s="56" t="s">
        <v>103</v>
      </c>
      <c r="C61" s="80" t="s">
        <v>100</v>
      </c>
      <c r="D61" s="79">
        <v>142.97</v>
      </c>
      <c r="E61" s="82">
        <v>142.97</v>
      </c>
      <c r="F61" s="82">
        <v>142.97</v>
      </c>
      <c r="G61" s="83">
        <f>E61</f>
        <v>142.97</v>
      </c>
      <c r="H61" s="83">
        <f>131.97+11</f>
        <v>142.97</v>
      </c>
      <c r="I61" s="82">
        <f>131.97+11</f>
        <v>142.97</v>
      </c>
      <c r="J61" s="26"/>
      <c r="K61" s="29"/>
      <c r="L61" s="40"/>
      <c r="M61" s="41"/>
    </row>
    <row r="62" spans="1:16" ht="27.6">
      <c r="A62" s="78"/>
      <c r="B62" s="56" t="s">
        <v>104</v>
      </c>
      <c r="C62" s="80" t="s">
        <v>100</v>
      </c>
      <c r="D62" s="79">
        <v>166.31</v>
      </c>
      <c r="E62" s="82">
        <v>166.31</v>
      </c>
      <c r="F62" s="82">
        <v>166.31</v>
      </c>
      <c r="G62" s="83">
        <f>F62</f>
        <v>166.31</v>
      </c>
      <c r="H62" s="83">
        <f>F62</f>
        <v>166.31</v>
      </c>
      <c r="I62" s="82">
        <v>166.31</v>
      </c>
      <c r="J62" s="26"/>
      <c r="K62" s="29"/>
      <c r="L62" s="40"/>
      <c r="M62" s="41"/>
    </row>
    <row r="63" spans="1:16" ht="27.6">
      <c r="A63" s="78"/>
      <c r="B63" s="56" t="s">
        <v>105</v>
      </c>
      <c r="C63" s="80" t="s">
        <v>100</v>
      </c>
      <c r="D63" s="79">
        <v>340.1</v>
      </c>
      <c r="E63" s="82">
        <v>340.1</v>
      </c>
      <c r="F63" s="82">
        <v>340.1</v>
      </c>
      <c r="G63" s="83">
        <v>340.1</v>
      </c>
      <c r="H63" s="83">
        <f t="shared" ref="H63:H69" si="11">F63</f>
        <v>340.1</v>
      </c>
      <c r="I63" s="57">
        <v>340.1</v>
      </c>
      <c r="J63" s="26"/>
      <c r="K63" s="29"/>
      <c r="L63" s="40"/>
      <c r="M63" s="41"/>
    </row>
    <row r="64" spans="1:16" ht="27.6">
      <c r="A64" s="78"/>
      <c r="B64" s="56" t="s">
        <v>106</v>
      </c>
      <c r="C64" s="80" t="s">
        <v>0</v>
      </c>
      <c r="D64" s="79">
        <v>100</v>
      </c>
      <c r="E64" s="82">
        <v>100</v>
      </c>
      <c r="F64" s="57">
        <v>100</v>
      </c>
      <c r="G64" s="75">
        <v>100</v>
      </c>
      <c r="H64" s="83">
        <f t="shared" si="11"/>
        <v>100</v>
      </c>
      <c r="I64" s="58">
        <v>100</v>
      </c>
      <c r="J64" s="26"/>
      <c r="K64" s="29"/>
      <c r="L64" s="40"/>
      <c r="M64" s="41"/>
    </row>
    <row r="65" spans="1:13" ht="27.6">
      <c r="A65" s="78"/>
      <c r="B65" s="56" t="s">
        <v>107</v>
      </c>
      <c r="C65" s="80" t="s">
        <v>0</v>
      </c>
      <c r="D65" s="79">
        <v>95.2</v>
      </c>
      <c r="E65" s="82">
        <v>95.45</v>
      </c>
      <c r="F65" s="82">
        <v>97.58</v>
      </c>
      <c r="G65" s="82">
        <v>95.45</v>
      </c>
      <c r="H65" s="82">
        <v>97.58</v>
      </c>
      <c r="I65" s="57">
        <v>95.2</v>
      </c>
      <c r="J65" s="26"/>
      <c r="K65" s="84"/>
      <c r="L65" s="40"/>
      <c r="M65" s="41"/>
    </row>
    <row r="66" spans="1:13" ht="13.8">
      <c r="A66" s="78"/>
      <c r="B66" s="56" t="s">
        <v>108</v>
      </c>
      <c r="C66" s="80" t="s">
        <v>0</v>
      </c>
      <c r="D66" s="79">
        <v>77</v>
      </c>
      <c r="E66" s="82">
        <v>79.790000000000006</v>
      </c>
      <c r="F66" s="82">
        <v>87.09</v>
      </c>
      <c r="G66" s="82">
        <v>81.400000000000006</v>
      </c>
      <c r="H66" s="82">
        <v>87.09</v>
      </c>
      <c r="I66" s="57">
        <v>75</v>
      </c>
      <c r="J66" s="26"/>
      <c r="K66" s="29"/>
      <c r="L66" s="40"/>
      <c r="M66" s="41"/>
    </row>
    <row r="67" spans="1:13" ht="27.6">
      <c r="A67" s="78"/>
      <c r="B67" s="56" t="s">
        <v>109</v>
      </c>
      <c r="C67" s="80" t="s">
        <v>0</v>
      </c>
      <c r="D67" s="79">
        <v>83.2</v>
      </c>
      <c r="E67" s="82">
        <v>83.5</v>
      </c>
      <c r="F67" s="57">
        <v>83.5</v>
      </c>
      <c r="G67" s="75">
        <v>86</v>
      </c>
      <c r="H67" s="83">
        <v>87</v>
      </c>
      <c r="I67" s="57">
        <v>83.2</v>
      </c>
      <c r="J67" s="26"/>
      <c r="K67" s="29"/>
      <c r="L67" s="40"/>
      <c r="M67" s="41"/>
    </row>
    <row r="68" spans="1:13" ht="27.6">
      <c r="A68" s="78"/>
      <c r="B68" s="56" t="s">
        <v>110</v>
      </c>
      <c r="C68" s="80" t="s">
        <v>0</v>
      </c>
      <c r="D68" s="79">
        <v>75.8</v>
      </c>
      <c r="E68" s="57">
        <v>76</v>
      </c>
      <c r="F68" s="57">
        <v>76</v>
      </c>
      <c r="G68" s="75">
        <v>76</v>
      </c>
      <c r="H68" s="83">
        <f t="shared" si="11"/>
        <v>76</v>
      </c>
      <c r="I68" s="57">
        <v>75.8</v>
      </c>
      <c r="J68" s="26"/>
      <c r="K68" s="29"/>
      <c r="L68" s="40"/>
      <c r="M68" s="41"/>
    </row>
    <row r="69" spans="1:13" ht="27.6">
      <c r="A69" s="78"/>
      <c r="B69" s="56" t="s">
        <v>111</v>
      </c>
      <c r="C69" s="80" t="s">
        <v>0</v>
      </c>
      <c r="D69" s="79">
        <v>32.5</v>
      </c>
      <c r="E69" s="57">
        <v>33</v>
      </c>
      <c r="F69" s="57">
        <v>33</v>
      </c>
      <c r="G69" s="75">
        <v>33</v>
      </c>
      <c r="H69" s="83">
        <f t="shared" si="11"/>
        <v>33</v>
      </c>
      <c r="I69" s="57">
        <v>32.5</v>
      </c>
      <c r="J69" s="26"/>
      <c r="K69" s="29"/>
      <c r="L69" s="40"/>
      <c r="M69" s="41"/>
    </row>
    <row r="70" spans="1:13" s="88" customFormat="1" ht="13.8">
      <c r="A70" s="85">
        <v>6</v>
      </c>
      <c r="B70" s="86" t="s">
        <v>112</v>
      </c>
      <c r="C70" s="79"/>
      <c r="D70" s="79"/>
      <c r="E70" s="58"/>
      <c r="F70" s="50"/>
      <c r="G70" s="87"/>
      <c r="H70" s="28"/>
      <c r="I70" s="50"/>
      <c r="J70" s="29"/>
      <c r="K70" s="29"/>
      <c r="L70" s="40"/>
      <c r="M70" s="41"/>
    </row>
    <row r="71" spans="1:13">
      <c r="A71" s="78"/>
      <c r="B71" s="50" t="s">
        <v>113</v>
      </c>
      <c r="C71" s="79"/>
      <c r="D71" s="46"/>
      <c r="E71" s="46">
        <v>1</v>
      </c>
      <c r="F71" s="46">
        <v>1</v>
      </c>
      <c r="G71" s="89">
        <v>1</v>
      </c>
      <c r="H71" s="89">
        <f t="shared" ref="H71:H76" si="12">F71</f>
        <v>1</v>
      </c>
      <c r="I71" s="9"/>
      <c r="J71" s="90"/>
      <c r="K71" s="90"/>
      <c r="L71" s="40"/>
      <c r="M71" s="91"/>
    </row>
    <row r="72" spans="1:13">
      <c r="A72" s="78"/>
      <c r="B72" s="50" t="s">
        <v>114</v>
      </c>
      <c r="C72" s="79"/>
      <c r="D72" s="46"/>
      <c r="E72" s="46">
        <v>2</v>
      </c>
      <c r="F72" s="46">
        <v>1</v>
      </c>
      <c r="G72" s="89">
        <v>1</v>
      </c>
      <c r="H72" s="89">
        <f t="shared" si="12"/>
        <v>1</v>
      </c>
      <c r="I72" s="9"/>
      <c r="J72" s="90"/>
      <c r="K72" s="90"/>
      <c r="L72" s="40"/>
      <c r="M72" s="91"/>
    </row>
    <row r="73" spans="1:13">
      <c r="A73" s="78"/>
      <c r="B73" s="50" t="s">
        <v>115</v>
      </c>
      <c r="C73" s="79"/>
      <c r="D73" s="46"/>
      <c r="E73" s="46">
        <v>1</v>
      </c>
      <c r="F73" s="46">
        <v>1</v>
      </c>
      <c r="G73" s="89">
        <v>1</v>
      </c>
      <c r="H73" s="89">
        <f t="shared" si="12"/>
        <v>1</v>
      </c>
      <c r="I73" s="9"/>
      <c r="J73" s="90"/>
      <c r="K73" s="90"/>
      <c r="L73" s="40"/>
      <c r="M73" s="91"/>
    </row>
    <row r="74" spans="1:13">
      <c r="A74" s="78"/>
      <c r="B74" s="50" t="s">
        <v>116</v>
      </c>
      <c r="C74" s="79"/>
      <c r="D74" s="46"/>
      <c r="E74" s="46">
        <v>7</v>
      </c>
      <c r="F74" s="46">
        <v>7</v>
      </c>
      <c r="G74" s="89">
        <v>7</v>
      </c>
      <c r="H74" s="89">
        <f t="shared" si="12"/>
        <v>7</v>
      </c>
      <c r="I74" s="9"/>
      <c r="J74" s="90"/>
      <c r="K74" s="90"/>
      <c r="L74" s="40"/>
      <c r="M74" s="91"/>
    </row>
    <row r="75" spans="1:13">
      <c r="A75" s="78"/>
      <c r="B75" s="56" t="s">
        <v>117</v>
      </c>
      <c r="C75" s="79"/>
      <c r="D75" s="46"/>
      <c r="E75" s="46">
        <v>1</v>
      </c>
      <c r="F75" s="46">
        <v>1</v>
      </c>
      <c r="G75" s="89">
        <v>1</v>
      </c>
      <c r="H75" s="89">
        <f t="shared" si="12"/>
        <v>1</v>
      </c>
      <c r="I75" s="9"/>
      <c r="J75" s="90"/>
      <c r="K75" s="90"/>
      <c r="L75" s="40"/>
      <c r="M75" s="91"/>
    </row>
    <row r="76" spans="1:13" ht="24.75" customHeight="1">
      <c r="A76" s="78"/>
      <c r="B76" s="50" t="s">
        <v>118</v>
      </c>
      <c r="C76" s="79"/>
      <c r="D76" s="46"/>
      <c r="E76" s="46">
        <v>16</v>
      </c>
      <c r="F76" s="46">
        <v>18</v>
      </c>
      <c r="G76" s="89">
        <v>18</v>
      </c>
      <c r="H76" s="89">
        <f t="shared" si="12"/>
        <v>18</v>
      </c>
      <c r="I76" s="9"/>
      <c r="J76" s="90"/>
      <c r="K76" s="90"/>
      <c r="L76" s="40"/>
      <c r="M76" s="92"/>
    </row>
    <row r="80" spans="1:13">
      <c r="B80" s="12"/>
      <c r="C80" s="12"/>
      <c r="D80" s="12"/>
    </row>
    <row r="81" spans="2:4">
      <c r="B81" s="12"/>
      <c r="C81" s="12"/>
      <c r="D81" s="12"/>
    </row>
    <row r="82" spans="2:4">
      <c r="B82" s="12"/>
      <c r="C82" s="12"/>
      <c r="D82" s="12"/>
    </row>
    <row r="83" spans="2:4">
      <c r="B83" s="12"/>
      <c r="C83" s="12"/>
      <c r="D83" s="12"/>
    </row>
    <row r="84" spans="2:4">
      <c r="B84" s="12"/>
      <c r="C84" s="12"/>
      <c r="D84" s="12"/>
    </row>
    <row r="85" spans="2:4">
      <c r="B85" s="12"/>
      <c r="C85" s="12"/>
      <c r="D85" s="12"/>
    </row>
    <row r="86" spans="2:4">
      <c r="B86" s="12"/>
      <c r="C86" s="12"/>
      <c r="D86" s="12"/>
    </row>
    <row r="87" spans="2:4">
      <c r="B87" s="12"/>
      <c r="C87" s="12"/>
      <c r="D87" s="12"/>
    </row>
  </sheetData>
  <mergeCells count="12">
    <mergeCell ref="I5:I6"/>
    <mergeCell ref="J5:L5"/>
    <mergeCell ref="A2:M2"/>
    <mergeCell ref="A3:M3"/>
    <mergeCell ref="A4:B4"/>
    <mergeCell ref="K4:L4"/>
    <mergeCell ref="A5:A6"/>
    <mergeCell ref="B5:B6"/>
    <mergeCell ref="C5:C6"/>
    <mergeCell ref="D5:D6"/>
    <mergeCell ref="E5:E6"/>
    <mergeCell ref="F5:H5"/>
  </mergeCells>
  <pageMargins left="0.7" right="0.7" top="0.75" bottom="0.75" header="0.3" footer="0.3"/>
  <pageSetup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35"/>
  <sheetViews>
    <sheetView workbookViewId="0">
      <selection activeCell="C26" sqref="C26"/>
    </sheetView>
  </sheetViews>
  <sheetFormatPr defaultColWidth="5.61328125" defaultRowHeight="13.2"/>
  <cols>
    <col min="1" max="1" width="18.3046875" style="1" customWidth="1"/>
    <col min="2" max="2" width="0.765625" style="1" customWidth="1"/>
    <col min="3" max="3" width="19.69140625" style="1" customWidth="1"/>
    <col min="4" max="16384" width="5.61328125" style="1"/>
  </cols>
  <sheetData>
    <row r="1" spans="1:3" ht="13.8" thickBot="1"/>
    <row r="2" spans="1:3" ht="18" thickBot="1">
      <c r="A2" s="2"/>
      <c r="C2" s="2"/>
    </row>
    <row r="3" spans="1:3" ht="17.399999999999999">
      <c r="A3" s="2"/>
      <c r="C3" s="2"/>
    </row>
    <row r="4" spans="1:3" ht="17.399999999999999">
      <c r="A4" s="2"/>
      <c r="C4" s="2"/>
    </row>
    <row r="5" spans="1:3" ht="17.399999999999999">
      <c r="A5" s="2"/>
      <c r="C5" s="2"/>
    </row>
    <row r="6" spans="1:3" ht="18" thickBot="1">
      <c r="A6" s="2"/>
      <c r="C6" s="2"/>
    </row>
    <row r="7" spans="1:3" ht="17.399999999999999">
      <c r="C7" s="2"/>
    </row>
    <row r="8" spans="1:3" ht="18" thickBot="1">
      <c r="C8" s="2"/>
    </row>
    <row r="9" spans="1:3" ht="18" thickBot="1">
      <c r="A9" s="2"/>
    </row>
    <row r="10" spans="1:3" ht="18" thickBot="1">
      <c r="A10" s="2"/>
      <c r="C10" s="2"/>
    </row>
    <row r="11" spans="1:3" ht="17.399999999999999">
      <c r="A11" s="2"/>
      <c r="C11" s="2"/>
    </row>
    <row r="12" spans="1:3" ht="17.399999999999999">
      <c r="A12" s="2"/>
      <c r="C12" s="2"/>
    </row>
    <row r="13" spans="1:3" ht="17.399999999999999">
      <c r="A13" s="2"/>
      <c r="C13" s="2"/>
    </row>
    <row r="14" spans="1:3" ht="17.399999999999999">
      <c r="A14" s="2"/>
      <c r="C14" s="2"/>
    </row>
    <row r="15" spans="1:3" ht="17.399999999999999">
      <c r="A15" s="2"/>
      <c r="C15" s="2"/>
    </row>
    <row r="16" spans="1:3" ht="17.399999999999999">
      <c r="A16" s="2"/>
      <c r="C16" s="2"/>
    </row>
    <row r="17" spans="1:3" ht="17.399999999999999">
      <c r="A17" s="2"/>
      <c r="C17" s="2"/>
    </row>
    <row r="18" spans="1:3" ht="17.399999999999999">
      <c r="A18" s="2"/>
      <c r="C18" s="2"/>
    </row>
    <row r="19" spans="1:3" ht="17.399999999999999">
      <c r="A19" s="2"/>
      <c r="C19" s="2"/>
    </row>
    <row r="20" spans="1:3" ht="18" thickBot="1">
      <c r="A20" s="2"/>
      <c r="C20" s="2"/>
    </row>
    <row r="21" spans="1:3" ht="18" thickBot="1">
      <c r="A21" s="2"/>
    </row>
    <row r="22" spans="1:3" ht="18" thickBot="1">
      <c r="A22" s="2"/>
      <c r="C22" s="2"/>
    </row>
    <row r="23" spans="1:3" ht="17.399999999999999">
      <c r="A23" s="2"/>
      <c r="C23" s="2"/>
    </row>
    <row r="24" spans="1:3" ht="17.399999999999999">
      <c r="A24" s="2"/>
      <c r="C24" s="2"/>
    </row>
    <row r="25" spans="1:3" ht="17.399999999999999">
      <c r="A25" s="2"/>
      <c r="C25" s="2"/>
    </row>
    <row r="26" spans="1:3" ht="17.399999999999999">
      <c r="A26" s="2"/>
      <c r="C26" s="2"/>
    </row>
    <row r="27" spans="1:3" ht="17.399999999999999">
      <c r="A27" s="2"/>
      <c r="C27" s="2"/>
    </row>
    <row r="28" spans="1:3" ht="17.399999999999999">
      <c r="A28" s="2"/>
      <c r="C28" s="2"/>
    </row>
    <row r="29" spans="1:3" ht="17.399999999999999">
      <c r="A29" s="2"/>
      <c r="C29" s="2"/>
    </row>
    <row r="30" spans="1:3" ht="18" thickBot="1">
      <c r="A30" s="2"/>
      <c r="C30" s="2"/>
    </row>
    <row r="31" spans="1:3" ht="17.399999999999999">
      <c r="C31" s="2"/>
    </row>
    <row r="32" spans="1:3" ht="18" thickBot="1">
      <c r="C32" s="2"/>
    </row>
    <row r="33" spans="1:3" ht="17.399999999999999">
      <c r="A33" s="2"/>
      <c r="C33" s="2"/>
    </row>
    <row r="34" spans="1:3" ht="17.399999999999999">
      <c r="A34" s="2"/>
      <c r="C34" s="2"/>
    </row>
    <row r="35" spans="1:3" ht="18" thickBot="1">
      <c r="A35" s="2"/>
      <c r="C35" s="2"/>
    </row>
  </sheetData>
  <sheetProtection password="CFB0" sheet="1" objects="1"/>
  <phoneticPr fontId="10" type="noConversion"/>
  <pageMargins left="0.75" right="0.75" top="0.41" bottom="0.5" header="0.22" footer="0.27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5"/>
  <sheetViews>
    <sheetView showFormulas="1" topLeftCell="B12" workbookViewId="0">
      <selection activeCell="C26" sqref="C26"/>
    </sheetView>
  </sheetViews>
  <sheetFormatPr defaultColWidth="5.61328125" defaultRowHeight="13.2"/>
  <cols>
    <col min="1" max="1" width="18.3046875" style="1" customWidth="1"/>
    <col min="2" max="2" width="0.765625" style="1" customWidth="1"/>
    <col min="3" max="3" width="19.69140625" style="1" customWidth="1"/>
    <col min="4" max="16384" width="5.61328125" style="1"/>
  </cols>
  <sheetData>
    <row r="1" spans="1:3" ht="13.8" thickBot="1"/>
    <row r="2" spans="1:3" ht="13.8" thickBot="1">
      <c r="A2" s="3" t="s">
        <v>11</v>
      </c>
      <c r="C2" s="3" t="s">
        <v>12</v>
      </c>
    </row>
    <row r="3" spans="1:3">
      <c r="A3" s="4" t="e">
        <v>#REF!</v>
      </c>
    </row>
    <row r="4" spans="1:3">
      <c r="A4" s="5" t="s">
        <v>13</v>
      </c>
    </row>
    <row r="5" spans="1:3">
      <c r="A5" s="6" t="s">
        <v>14</v>
      </c>
    </row>
    <row r="6" spans="1:3" ht="13.8" thickBot="1">
      <c r="A6" s="7" t="e">
        <v>#REF!</v>
      </c>
    </row>
    <row r="8" spans="1:3" ht="13.8" thickBot="1"/>
    <row r="9" spans="1:3" ht="13.8" thickBot="1">
      <c r="A9" s="3" t="s">
        <v>15</v>
      </c>
    </row>
    <row r="10" spans="1:3" ht="13.8" thickBot="1">
      <c r="C10" s="3" t="s">
        <v>16</v>
      </c>
    </row>
    <row r="20" spans="3:3" ht="13.8" thickBot="1"/>
    <row r="21" spans="3:3" ht="13.8" thickBot="1"/>
    <row r="22" spans="3:3" ht="13.8" thickBot="1">
      <c r="C22" s="3" t="s">
        <v>17</v>
      </c>
    </row>
    <row r="30" spans="3:3" ht="13.8" thickBot="1"/>
    <row r="32" spans="3:3" ht="13.8" thickBot="1"/>
    <row r="35" ht="13.8" thickBot="1"/>
  </sheetData>
  <sheetProtection password="CFB0" sheet="1" objects="1"/>
  <phoneticPr fontId="28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StartUp</vt:lpstr>
      <vt:lpstr>PL1</vt:lpstr>
      <vt:lpstr>PL2</vt:lpstr>
      <vt:lpstr>NN</vt:lpstr>
      <vt:lpstr>KTHT</vt:lpstr>
      <vt:lpstr>XL4Test5</vt:lpstr>
      <vt:lpstr>XL4Test5!Bust</vt:lpstr>
      <vt:lpstr>XL4Test5!Continue</vt:lpstr>
      <vt:lpstr>XL4Test5!Documents_array</vt:lpstr>
      <vt:lpstr>XL4Test5!Hello</vt:lpstr>
      <vt:lpstr>'PL1'!Print_Titles</vt:lpstr>
      <vt:lpstr>'PL2'!Print_Titles</vt:lpstr>
    </vt:vector>
  </TitlesOfParts>
  <Company>KH&amp;DT Daklak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Hieu n T</dc:creator>
  <cp:lastModifiedBy>DELL</cp:lastModifiedBy>
  <cp:lastPrinted>2026-07-28T04:04:53Z</cp:lastPrinted>
  <dcterms:created xsi:type="dcterms:W3CDTF">2000-07-19T02:51:14Z</dcterms:created>
  <dcterms:modified xsi:type="dcterms:W3CDTF">2026-07-28T04:04:56Z</dcterms:modified>
</cp:coreProperties>
</file>